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352" windowHeight="9012" activeTab="0"/>
  </bookViews>
  <sheets>
    <sheet name="Foglio1" sheetId="1" r:id="rId1"/>
  </sheets>
  <definedNames>
    <definedName name="_xlnm.Print_Area" localSheetId="0">'Foglio1'!$A$1:$G$332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<sst xmlns="http://schemas.openxmlformats.org/spreadsheetml/2006/main" count="263" uniqueCount="256">
  <si>
    <t>COSTI DELLA GESTIONE ORDINARIA</t>
  </si>
  <si>
    <t>COSTO DEL PERSONALE</t>
  </si>
  <si>
    <t>COSTO DEL PERSONALE IMPIEGATO</t>
  </si>
  <si>
    <t>COSTO PERSONALE IN QUIESCENZA</t>
  </si>
  <si>
    <t>COSTI TECNICI</t>
  </si>
  <si>
    <t>COSTO TECNICI PER MANUTENZIONE ED ESPURGO RETI</t>
  </si>
  <si>
    <t>MANUTENZIONE FABBRICATI IMPIANTI</t>
  </si>
  <si>
    <t>GESTIONE OFFICINE E MAGAZZINI TECNICI</t>
  </si>
  <si>
    <t>GESTIONE CARATTERISTICA</t>
  </si>
  <si>
    <t>RICAVI E PROVENTI DELLA GESTIONE ORDINARIA</t>
  </si>
  <si>
    <t>CONTRIBUTI CONSORTILI ORDINARI PER GESTIONE, ESERCIZIO, MANUTENZIONE OPERE</t>
  </si>
  <si>
    <t>CANONI PER LICENZE E CONCESSIONI</t>
  </si>
  <si>
    <t>CANONE PER LICENZE E CONCESSIONI</t>
  </si>
  <si>
    <t>RICAVI E PROVENTI VARI DA ATTIVITA' ORDINARIA CARATTERISTICA</t>
  </si>
  <si>
    <t>PROVENTI DA ATTIVITA' PERSONALE DIPENDENTE</t>
  </si>
  <si>
    <t>RECUPERI VARI E RIMBORSI</t>
  </si>
  <si>
    <t>RICAVI E PROVENTI DALLA REALIZZAZIONE NUOVE OPERE E MANUTENZIONE STRAORDINARIE</t>
  </si>
  <si>
    <t>CONTRIBUTI PER ESECUZIONE E MANUTENZIONE STRAORDINARIE OPERE PUBBLICHE</t>
  </si>
  <si>
    <t>MANUTENZIONE ELETTROM.E GESTIONE IMPIANTI E GRUPPI</t>
  </si>
  <si>
    <t>MANUTENZIONE TELERILEVAMENTO E PONTERADIO</t>
  </si>
  <si>
    <t>ENERGIA ELETTRICA FUNZIONAMENTO IMPIANTI</t>
  </si>
  <si>
    <t>GESTIONE AUTOMEZZI E MEZZI D'OPERA</t>
  </si>
  <si>
    <t>CANONI PASSIVI</t>
  </si>
  <si>
    <t>COSTI TECNICI GENERALI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</si>
  <si>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</si>
  <si>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</si>
  <si>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</si>
  <si>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</si>
  <si>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 CONSULENZE</t>
  </si>
  <si>
    <t>ASSICURAZIONI DIVERSE</t>
  </si>
  <si>
    <t>INFORMATICA E SERVIZI IN OUTSOURCING</t>
  </si>
  <si>
    <t>ATTIVITA' DI COMUNICAZIONE E SPESE DI RAPPRESENTANZA</t>
  </si>
  <si>
    <t>SERVIZI DI TENUTA CATASTO E DI RISCOSSIONE</t>
  </si>
  <si>
    <t>ACCANTONAMENTI</t>
  </si>
  <si>
    <t>ACCANTONAMENTI E AMMORTAMENTI COSTI CAPITALIZZATI</t>
  </si>
  <si>
    <t>COSTI DELLA GESTIONE LAVORI IN CONCESSIONE</t>
  </si>
  <si>
    <t>NUOVE OPERE E MANUTENZIONI STRAORDINARIE CON FINANZIAMENTO PROPRIO</t>
  </si>
  <si>
    <t>NUOVE OPERE E MANUTENZIONI STRAORDINARIE</t>
  </si>
  <si>
    <t>PROGETTAZIONE, DIREZIONE LAVORI E COSTI ACCESSORI</t>
  </si>
  <si>
    <t>NUOVE OPERE O MANUTENZIONE STRAORDINARIA CON FINANZIAMENTO TERZI</t>
  </si>
  <si>
    <t>GESTIONE FINANZIARIA</t>
  </si>
  <si>
    <t>PROVENTI FINANZIARI</t>
  </si>
  <si>
    <t>PROVENTI FINANZIARI A BREVE TERMINE</t>
  </si>
  <si>
    <t>ONERI FINANZIARI</t>
  </si>
  <si>
    <t>ONERI FINANZIARI CORRENTI</t>
  </si>
  <si>
    <t>GESTIONE TRIBUTARIA</t>
  </si>
  <si>
    <t>IMPOSTE E TASSE</t>
  </si>
  <si>
    <t xml:space="preserve">CONTO ECONOMICO </t>
  </si>
  <si>
    <t>TOTALE RICAVI E PROVENTI DALLA REALIZZAZIONE NUOVE OPERE E MANUTENZIONE STRAORDINARIE</t>
  </si>
  <si>
    <t>TOTALE GESTIONE FINANZIARIA</t>
  </si>
  <si>
    <t>TOTALE GESTIONE TRIBUTARIA</t>
  </si>
  <si>
    <t xml:space="preserve"> CONTO</t>
  </si>
  <si>
    <t>COD. CONTO</t>
  </si>
  <si>
    <t>Operai fissi</t>
  </si>
  <si>
    <t>Operai avventizzi</t>
  </si>
  <si>
    <t>Dirigenti tecnici</t>
  </si>
  <si>
    <t>Dirigenti amministrativi</t>
  </si>
  <si>
    <t>Corsi Dirigenti tecnici</t>
  </si>
  <si>
    <t>Corsi Dirigenti amministrativi</t>
  </si>
  <si>
    <t>Quadri tecnici</t>
  </si>
  <si>
    <t>Quadri amministrativi</t>
  </si>
  <si>
    <t>Impiegati tecnici</t>
  </si>
  <si>
    <t>Impiegati amministrativi</t>
  </si>
  <si>
    <t>Corsi impiegati tecnici</t>
  </si>
  <si>
    <t>Corsi impiegati amministrativi</t>
  </si>
  <si>
    <t>TOTALE COSTO DEL PERSONALE IMPIEGATO</t>
  </si>
  <si>
    <t>Pensione conto Enpaia</t>
  </si>
  <si>
    <t>Pensioni conto Consorzio</t>
  </si>
  <si>
    <t>TOTALE COSTO PERSONALE IN QUIESCENZA</t>
  </si>
  <si>
    <t xml:space="preserve"> </t>
  </si>
  <si>
    <t>Espurgo frutti pendenti</t>
  </si>
  <si>
    <t>Ripresa frane e materiali</t>
  </si>
  <si>
    <t>Altri lavori terra appalto</t>
  </si>
  <si>
    <t xml:space="preserve">Manutenzione manufatti materiali </t>
  </si>
  <si>
    <t xml:space="preserve">Manutenzione manufatti nolo e trasporti </t>
  </si>
  <si>
    <t>TOTALE COSTO TECNICI PER MANUTENZIONE ED ESPURGO RETI</t>
  </si>
  <si>
    <t>Manutenzione fabbricati impianti</t>
  </si>
  <si>
    <t>Manutenzione fabbricati impianti noli e trasporti</t>
  </si>
  <si>
    <t>TOTALE MANUTENZIONE FABBRICATI IMPIANTI</t>
  </si>
  <si>
    <t>Ammortamento attrezzatura tecnica</t>
  </si>
  <si>
    <t xml:space="preserve">Manutenzione officina altri costi </t>
  </si>
  <si>
    <t>TOTALE GESTIONE OFFICINE E MAGAZZINI TECNICI</t>
  </si>
  <si>
    <t xml:space="preserve">Manutenzione elettrom. Gestione impianti e gruppi </t>
  </si>
  <si>
    <t>TOTALE MANUTENZIONE ELETTROM.E GESTIONE IMPIANTI E GRUPPI</t>
  </si>
  <si>
    <t>Espurgo noli e trasporti mezzi</t>
  </si>
  <si>
    <t>Telerilevamento e ponte radio manut. in affido esterno</t>
  </si>
  <si>
    <t>Telerilevamento e ponte radio canoni e altri oneri</t>
  </si>
  <si>
    <t>TOTALE MANUTENZIONE TELERILEVAMENTO E PONTERADIO</t>
  </si>
  <si>
    <t xml:space="preserve">Esercizio rete scolante </t>
  </si>
  <si>
    <t>Esercizio rete irrigua</t>
  </si>
  <si>
    <t xml:space="preserve">Interventi urgenti e somma urgenza </t>
  </si>
  <si>
    <t>Controllo qualità acqua</t>
  </si>
  <si>
    <t>Energia elettrica impianti e scolo</t>
  </si>
  <si>
    <t>Energia elettrica impianti irrigui</t>
  </si>
  <si>
    <t>Energia elettrica manufatti</t>
  </si>
  <si>
    <t>TOTALE ENERGIA ELETTRICA FUNZIONAMENTO IMPIANTI</t>
  </si>
  <si>
    <t xml:space="preserve">Mezzi d'opera assicurazioni </t>
  </si>
  <si>
    <t>Mezzi d'opera manutenzione in affidamento esterno</t>
  </si>
  <si>
    <t>Automezzi quota ammortamento</t>
  </si>
  <si>
    <t xml:space="preserve">Automezzi assicurazioni </t>
  </si>
  <si>
    <t xml:space="preserve">Mezzi d'opera manutenzione materiali </t>
  </si>
  <si>
    <t xml:space="preserve">Automezzi manutenzione in affidamento esterno </t>
  </si>
  <si>
    <t xml:space="preserve">Automezzi manutenzione materiali </t>
  </si>
  <si>
    <t>TOTALE GESTIONE AUTOMEZZI E MEZZI D'OPERA</t>
  </si>
  <si>
    <t xml:space="preserve">Canoni passivi derivazione </t>
  </si>
  <si>
    <t xml:space="preserve">Canoni passivi attraversamenti </t>
  </si>
  <si>
    <t>TOTALE CANONI PASSIVI</t>
  </si>
  <si>
    <t>TOTALE COSTI TECNICI GENERALI</t>
  </si>
  <si>
    <t xml:space="preserve">Consulenze tecniche varie </t>
  </si>
  <si>
    <t>Adempimenti in materia ambientale e smaltimento rifiuti</t>
  </si>
  <si>
    <t xml:space="preserve">Adempimenti di sicurezza </t>
  </si>
  <si>
    <t>TOTALE COSTI TECNICI</t>
  </si>
  <si>
    <t>Telefonia mobile e fissa</t>
  </si>
  <si>
    <t xml:space="preserve">Manutenzione locali </t>
  </si>
  <si>
    <t xml:space="preserve">Pulizia locali in appalto </t>
  </si>
  <si>
    <t>Pulizia locali straordinaria</t>
  </si>
  <si>
    <t xml:space="preserve">Energia elettrica </t>
  </si>
  <si>
    <t>Telefonia fissa</t>
  </si>
  <si>
    <t>Gestione fotocopiatrici</t>
  </si>
  <si>
    <t xml:space="preserve">Postali </t>
  </si>
  <si>
    <t xml:space="preserve">Registrazione e bollatura atti </t>
  </si>
  <si>
    <t>TOTALE LOCAZIONE, GESTIONE, FUNZ. LOCALI USO UFFICI</t>
  </si>
  <si>
    <t>Cancelleria</t>
  </si>
  <si>
    <t>Stampati</t>
  </si>
  <si>
    <t xml:space="preserve">Gestione archivio </t>
  </si>
  <si>
    <t>Riviste e pubblicazioni</t>
  </si>
  <si>
    <t>Acquisto mobili inferiore a €. 516,00</t>
  </si>
  <si>
    <t>Presidente compenso</t>
  </si>
  <si>
    <t>Presidente rimborsi</t>
  </si>
  <si>
    <t>Vice-presidente compenso</t>
  </si>
  <si>
    <t>Vice-presidente rimborso spese</t>
  </si>
  <si>
    <t xml:space="preserve">Comitato Amministrativo rimborso spese </t>
  </si>
  <si>
    <t xml:space="preserve">Consiglio rimborso spese </t>
  </si>
  <si>
    <t>Organi consortili assicurazioni</t>
  </si>
  <si>
    <t xml:space="preserve">Collegio revisori </t>
  </si>
  <si>
    <t>Collegio revisori rimborsi</t>
  </si>
  <si>
    <t>TOTALE FUNZIONAMENTO ORGANI CONSORTILI</t>
  </si>
  <si>
    <t>Partecipazioni ad enti e asociazioni</t>
  </si>
  <si>
    <t>TOTALE PARTECIPAZIONE A ENTI E ASSOCIAZIONI</t>
  </si>
  <si>
    <t>Spese legali</t>
  </si>
  <si>
    <t>Consulenze amministrative varie</t>
  </si>
  <si>
    <t xml:space="preserve">Spese notarili </t>
  </si>
  <si>
    <t>TOTALE SPESE LEGALI AMM. CONSULENZE</t>
  </si>
  <si>
    <t xml:space="preserve">Assicurazioni diverse </t>
  </si>
  <si>
    <t>TOTALE ASSICURAZIONI DIVERSE</t>
  </si>
  <si>
    <t>Hardware (inferiore a €. 516,00)</t>
  </si>
  <si>
    <t>Assistenza - hardware</t>
  </si>
  <si>
    <t>Assistenza e acquisto inferiore a €. 516,00 software</t>
  </si>
  <si>
    <t xml:space="preserve">Quota ammortamento hardware </t>
  </si>
  <si>
    <t xml:space="preserve">Quota ammortamento software servizi amministrativi </t>
  </si>
  <si>
    <t xml:space="preserve">Quota ammortamento software programmi e contabilità lavori </t>
  </si>
  <si>
    <t>TOTALE INFORMATICA E SERVIZI IN OUTSOURCING</t>
  </si>
  <si>
    <t xml:space="preserve">Mostre e iniziative professionali </t>
  </si>
  <si>
    <t>Pubblicità e inserzioni</t>
  </si>
  <si>
    <t xml:space="preserve">Altri costi di comunicazione </t>
  </si>
  <si>
    <t xml:space="preserve">Spese di rappresentanza </t>
  </si>
  <si>
    <t>TOTALE ATTIVITA' DI COMUNICAZIONE E SPESE DI RAPPRESENTANZA</t>
  </si>
  <si>
    <t>Aggiornamento catasto - costi</t>
  </si>
  <si>
    <t>Spese d'nformazione contribuenti</t>
  </si>
  <si>
    <t>Discarichi e rimborso contributi</t>
  </si>
  <si>
    <t>TOTALE SERVIZI DI TENUTA CATASTO E DI RISCOSSIONE</t>
  </si>
  <si>
    <t>TOTALE COSTI AMMINISTRATIVI</t>
  </si>
  <si>
    <t>Quote annue accantonamenti</t>
  </si>
  <si>
    <t>TOTALE ACCANTONAMENTI E AMMORTAMENTI COSTI CAPITALIZZATI</t>
  </si>
  <si>
    <t>TOTALE ACCANTONAMENTI</t>
  </si>
  <si>
    <t>TOTALE NUOVE OPERE E MANUTENZIONI STRAORDINARIE</t>
  </si>
  <si>
    <t>TOTALE NUOVE OPERE E MANUT. STRAORD. CON FINANZ. PROPRIO</t>
  </si>
  <si>
    <t xml:space="preserve">Incentivi alla progettazione </t>
  </si>
  <si>
    <t>TOTALE PROGETTAZIONE, DIREZIONE LAVORI E COSTI ACCESSORI</t>
  </si>
  <si>
    <t>TOTALE NUOVE OPERE O MANUT. STRAORD. CON FINANZ. TERZI</t>
  </si>
  <si>
    <t>Interessi passivi su conto corrente Tesoreria</t>
  </si>
  <si>
    <t>Oneri bancari</t>
  </si>
  <si>
    <t>Altri oneri finanziari</t>
  </si>
  <si>
    <t>TOTALE ONERI FINANZIARI CORRENTI</t>
  </si>
  <si>
    <t>TOTALE PROVENTI FINANZIARI</t>
  </si>
  <si>
    <t>TOTALE ONERI FINANZIARI</t>
  </si>
  <si>
    <t>Sopravvenienze passive</t>
  </si>
  <si>
    <t>Ires</t>
  </si>
  <si>
    <t>Smaltimento rifiuti</t>
  </si>
  <si>
    <t xml:space="preserve">Altre imposte e tasse </t>
  </si>
  <si>
    <t>TOTALE IMPOSTE E TASSE</t>
  </si>
  <si>
    <t>Interessi cu conto/tesoreria e c/bancari</t>
  </si>
  <si>
    <t>TOTALE PROVENTI FINANZIARI A BREVE TERMINE</t>
  </si>
  <si>
    <t>TOTALE PROVENTI DA ATTIVITA' PERSONALE DIPENDENTE</t>
  </si>
  <si>
    <t xml:space="preserve">Rimborso oneri per attività svolte per Consorziati o terzi </t>
  </si>
  <si>
    <t xml:space="preserve">TOTALE RIMBORSO ONERI PER ATTIVITA' SVOLTE PER CONS. O TERZI </t>
  </si>
  <si>
    <t xml:space="preserve">RIMBORSO ONERI PER ATTIVITA' SVOLTE PER CONS. O TERZI </t>
  </si>
  <si>
    <t>TOTALE RECUPERI VARI E RIMBORSI</t>
  </si>
  <si>
    <t xml:space="preserve">Canoni per licenze e concessioni </t>
  </si>
  <si>
    <t>TOTALE CANONE PER LICENZE E CONCESSIONI</t>
  </si>
  <si>
    <t>TOTALE CANONI PER LICENZE E CONCESSIONI</t>
  </si>
  <si>
    <t xml:space="preserve">TOTALE RICAVI E PROVENTI VARI DA ATTIVITA' ORDINARIA CARATTERISTICA </t>
  </si>
  <si>
    <t xml:space="preserve">Contributo idraulico terreni </t>
  </si>
  <si>
    <t xml:space="preserve">Contributo idraulico fabbricati </t>
  </si>
  <si>
    <t xml:space="preserve">Contributo idraulico vie di comunicazione </t>
  </si>
  <si>
    <t xml:space="preserve">NUOVE OPERE E MANUTENZIONE STRAORDINARIE </t>
  </si>
  <si>
    <t>Nuove opere con finanziamento proprio in appalto</t>
  </si>
  <si>
    <t>Nuove opere e/o manut. Straord. con fin. terzi in appalto</t>
  </si>
  <si>
    <t xml:space="preserve"> TOTALENUOVE OPERE E MANUTENZIONE STRAORDINARIE </t>
  </si>
  <si>
    <t>FINANZIAMENTO  SUI LAVORI</t>
  </si>
  <si>
    <t xml:space="preserve">Finanziamento di terzi sui lavori </t>
  </si>
  <si>
    <t>TOTALE FINANZIAMENTO  SUI LAVORI</t>
  </si>
  <si>
    <t>TOTALE CONTRIBUTI PER ESECUZIONE E MANUTENZIONE STRAORDINARIE OPERE PUBBLICHE</t>
  </si>
  <si>
    <t>TOTALE RICAVI E PROVENTI DELLA GESTIONE ORD.</t>
  </si>
  <si>
    <t xml:space="preserve">Recuperi vari e rimborsi </t>
  </si>
  <si>
    <t xml:space="preserve">Rimborsi oneri pensionistici </t>
  </si>
  <si>
    <t>Quota amm.to Software serv. Gen</t>
  </si>
  <si>
    <t xml:space="preserve">Manutenzione gruppi elettr. materiali </t>
  </si>
  <si>
    <t>Ripresa frane in appalto</t>
  </si>
  <si>
    <t>Automezzi quota noleggio lungo termine</t>
  </si>
  <si>
    <t xml:space="preserve">Quota ammortamento impianti e macchinari </t>
  </si>
  <si>
    <t>Imu</t>
  </si>
  <si>
    <t>Spese informatizzazione servizi</t>
  </si>
  <si>
    <t>Manutenzione fabbricati impianti in appalto</t>
  </si>
  <si>
    <t>Quota ammortamento software telerilevamento</t>
  </si>
  <si>
    <t>IMPORTO 2018</t>
  </si>
  <si>
    <t>Quota amm.to sede</t>
  </si>
  <si>
    <t>Mezzi d'opera quota ammortamento</t>
  </si>
  <si>
    <t>CONTO ECONOMICO PREVENTIVO 2019</t>
  </si>
  <si>
    <t>IMPORTO 2019</t>
  </si>
  <si>
    <t>Acqua potabile</t>
  </si>
  <si>
    <t>Aggiornamento catasto in outsourcing</t>
  </si>
  <si>
    <t xml:space="preserve">Contributo presidio idrogeologico terreni </t>
  </si>
  <si>
    <t xml:space="preserve">Contributo presidio idrogeologico fabbricati </t>
  </si>
  <si>
    <t>Contributo presidio idrogeologico vie comunicazione</t>
  </si>
  <si>
    <t xml:space="preserve">Contributo disponibilità e regolazione idrica a consumo/quota variabile </t>
  </si>
  <si>
    <t xml:space="preserve">Contributo dipsonibilità e regolazione idrica - quota fissa </t>
  </si>
  <si>
    <t>Direzione generale</t>
  </si>
  <si>
    <t>Sfalcio meccanico in appalto</t>
  </si>
  <si>
    <t>Sfalcio meccanico - noli  trasporti  mezzi d'opera</t>
  </si>
  <si>
    <t>Sfalcio manuale-materiali</t>
  </si>
  <si>
    <t>Mezzi d'opera-carburanti e altri materiali di consumo</t>
  </si>
  <si>
    <t>Automezzi-carburanti e altri materiali di consumo</t>
  </si>
  <si>
    <t>Compenso e rimborsi spese per riscossione tributi</t>
  </si>
  <si>
    <t>TOTALE CONTRIBUTO IDRAULICO</t>
  </si>
  <si>
    <t>CONTRIBUTO IDRAULICO</t>
  </si>
  <si>
    <t>CONTRIBUTI DI DISPONIBILITA' E REGOLAZIONE IDRICA</t>
  </si>
  <si>
    <t xml:space="preserve"> TOTALE CONTRIBUTI DI DISPONIBILITA' E REGOLAZIONE IDRICA</t>
  </si>
  <si>
    <t xml:space="preserve">CONTRIBUTO PRESIDIO IDROGEOLOGICO </t>
  </si>
  <si>
    <t>TOTALE CONTRIBUTI PRESIDIO IDROGEOLOGICO</t>
  </si>
  <si>
    <t>TOTALE CONTRIBUTI CONSORTILI ORDINARI PER GESTIONE, ESERCIZIO, MANUTENZIONE OPERE</t>
  </si>
  <si>
    <t>COSTO DEL PERSONALE OPERATIVO</t>
  </si>
  <si>
    <t>COSTO DEL PERSONALE DIRIGENTE</t>
  </si>
  <si>
    <t>TOTALE COSTO DEL PERSONALE OPERATIVO</t>
  </si>
  <si>
    <t>TOTALE COSTO DEL PERSONALE DIRIGENTE</t>
  </si>
  <si>
    <t>TOTALE COSTI PERSONALE</t>
  </si>
  <si>
    <t>TOTALE COSTI GESTIONE ORDINARIA</t>
  </si>
  <si>
    <t>TOTALE LAVORI IN CONCESSIONE</t>
  </si>
  <si>
    <t>RISULTATO GESTIONE CARATTERISTICA</t>
  </si>
  <si>
    <t>ALTRI COSTI DELLA GESTIONE ORDINARIA</t>
  </si>
  <si>
    <t>TOTALE ALTRI COSTI DELLA GESTIONE ORDINARIA</t>
  </si>
  <si>
    <t>ATLRI COSTI DELLA GESTIONE ORDINARIA</t>
  </si>
  <si>
    <t xml:space="preserve"> TOTALE ATLRI COSTI DELLA GESTIONE ORDINARIA</t>
  </si>
  <si>
    <t>ONERI FINANZIARI SU FIN. MEDIO LUNGO TERMINE</t>
  </si>
  <si>
    <t>Oneri finanziari su fin. medio lungo termine</t>
  </si>
  <si>
    <t>TOTALE ONERI FINANZIARI SU FIN. MEDIO LUNGO TERMINE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</si>
</sst>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400]h:mm:ss\ AM/PM"/>
    <numFmt numFmtId="179" formatCode="h\.mm\.ss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43" fontId="16" fillId="0" borderId="11" xfId="0" applyNumberFormat="1" applyFont="1" applyBorder="1" applyAlignment="1">
      <alignment/>
    </xf>
    <xf numFmtId="43" fontId="17" fillId="0" borderId="11" xfId="0" applyNumberFormat="1" applyFont="1" applyFill="1" applyBorder="1" applyAlignment="1">
      <alignment/>
    </xf>
    <xf numFmtId="43" fontId="1" fillId="0" borderId="14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8" fillId="0" borderId="11" xfId="0" applyNumberFormat="1" applyFont="1" applyFill="1" applyBorder="1" applyAlignment="1">
      <alignment/>
    </xf>
    <xf numFmtId="43" fontId="16" fillId="0" borderId="11" xfId="0" applyNumberFormat="1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16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3" fontId="16" fillId="0" borderId="0" xfId="4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43" fontId="0" fillId="0" borderId="0" xfId="45" applyNumberFormat="1" applyFont="1" applyBorder="1" applyAlignment="1">
      <alignment/>
    </xf>
    <xf numFmtId="43" fontId="56" fillId="0" borderId="0" xfId="4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57" fillId="0" borderId="0" xfId="0" applyNumberFormat="1" applyFont="1" applyBorder="1" applyAlignment="1">
      <alignment/>
    </xf>
    <xf numFmtId="43" fontId="58" fillId="0" borderId="0" xfId="0" applyNumberFormat="1" applyFont="1" applyBorder="1" applyAlignment="1">
      <alignment/>
    </xf>
    <xf numFmtId="43" fontId="1" fillId="0" borderId="0" xfId="45" applyFont="1" applyBorder="1" applyAlignment="1">
      <alignment/>
    </xf>
    <xf numFmtId="43" fontId="0" fillId="0" borderId="0" xfId="45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3" fontId="16" fillId="0" borderId="11" xfId="45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43" fontId="0" fillId="0" borderId="11" xfId="45" applyNumberFormat="1" applyFont="1" applyBorder="1" applyAlignment="1">
      <alignment/>
    </xf>
    <xf numFmtId="43" fontId="56" fillId="0" borderId="11" xfId="45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57" fillId="0" borderId="11" xfId="0" applyNumberFormat="1" applyFont="1" applyBorder="1" applyAlignment="1">
      <alignment/>
    </xf>
    <xf numFmtId="43" fontId="58" fillId="0" borderId="11" xfId="0" applyNumberFormat="1" applyFont="1" applyBorder="1" applyAlignment="1">
      <alignment/>
    </xf>
    <xf numFmtId="43" fontId="1" fillId="0" borderId="11" xfId="45" applyFont="1" applyBorder="1" applyAlignment="1">
      <alignment/>
    </xf>
    <xf numFmtId="43" fontId="0" fillId="0" borderId="11" xfId="45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/>
    </xf>
    <xf numFmtId="43" fontId="0" fillId="0" borderId="14" xfId="45" applyFont="1" applyBorder="1" applyAlignment="1">
      <alignment/>
    </xf>
    <xf numFmtId="43" fontId="0" fillId="0" borderId="14" xfId="0" applyNumberFormat="1" applyFont="1" applyFill="1" applyBorder="1" applyAlignment="1">
      <alignment/>
    </xf>
    <xf numFmtId="43" fontId="56" fillId="0" borderId="12" xfId="0" applyNumberFormat="1" applyFont="1" applyBorder="1" applyAlignment="1">
      <alignment/>
    </xf>
    <xf numFmtId="43" fontId="56" fillId="0" borderId="11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58" fillId="0" borderId="11" xfId="0" applyNumberFormat="1" applyFont="1" applyFill="1" applyBorder="1" applyAlignment="1">
      <alignment/>
    </xf>
    <xf numFmtId="43" fontId="56" fillId="0" borderId="14" xfId="0" applyNumberFormat="1" applyFont="1" applyBorder="1" applyAlignment="1">
      <alignment/>
    </xf>
    <xf numFmtId="43" fontId="58" fillId="0" borderId="11" xfId="45" applyFont="1" applyBorder="1" applyAlignment="1">
      <alignment/>
    </xf>
    <xf numFmtId="43" fontId="56" fillId="0" borderId="11" xfId="45" applyFont="1" applyBorder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right"/>
    </xf>
    <xf numFmtId="0" fontId="20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43" fontId="16" fillId="0" borderId="0" xfId="0" applyNumberFormat="1" applyFont="1" applyAlignment="1">
      <alignment/>
    </xf>
    <xf numFmtId="0" fontId="4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PageLayoutView="0" workbookViewId="0" topLeftCell="A298">
      <selection activeCell="E306" sqref="E306"/>
    </sheetView>
  </sheetViews>
  <sheetFormatPr defaultColWidth="9.140625" defaultRowHeight="12.75"/>
  <cols>
    <col min="1" max="1" width="69.140625" style="0" customWidth="1"/>
    <col min="2" max="3" width="14.7109375" style="9" customWidth="1"/>
    <col min="4" max="4" width="13.7109375" style="14" customWidth="1"/>
    <col min="5" max="5" width="66.28125" style="6" customWidth="1"/>
    <col min="6" max="7" width="15.28125" style="9" customWidth="1"/>
    <col min="8" max="8" width="14.7109375" style="9" customWidth="1"/>
  </cols>
  <sheetData>
    <row r="1" spans="1:8" s="1" customFormat="1" ht="33.75" customHeight="1">
      <c r="A1" s="122" t="s">
        <v>218</v>
      </c>
      <c r="B1" s="122"/>
      <c r="C1" s="122"/>
      <c r="D1" s="122"/>
      <c r="E1" s="122"/>
      <c r="F1" s="122"/>
      <c r="G1" s="74"/>
      <c r="H1" s="74"/>
    </row>
    <row r="2" spans="1:8" s="3" customFormat="1" ht="12.75" customHeight="1">
      <c r="A2" s="5"/>
      <c r="B2" s="7"/>
      <c r="C2" s="7"/>
      <c r="D2" s="12"/>
      <c r="E2" s="4"/>
      <c r="F2" s="10"/>
      <c r="G2" s="10"/>
      <c r="H2" s="10"/>
    </row>
    <row r="3" spans="1:8" s="3" customFormat="1" ht="14.25" customHeight="1" thickBot="1">
      <c r="A3" s="5"/>
      <c r="B3" s="7"/>
      <c r="C3" s="7"/>
      <c r="D3" s="12"/>
      <c r="E3" s="4"/>
      <c r="F3" s="10"/>
      <c r="G3" s="10"/>
      <c r="H3" s="10"/>
    </row>
    <row r="4" spans="1:8" ht="30" customHeight="1" thickBot="1">
      <c r="A4" s="15" t="s">
        <v>47</v>
      </c>
      <c r="B4" s="15" t="s">
        <v>215</v>
      </c>
      <c r="C4" s="15" t="s">
        <v>219</v>
      </c>
      <c r="D4" s="73" t="s">
        <v>52</v>
      </c>
      <c r="E4" s="102" t="s">
        <v>51</v>
      </c>
      <c r="F4" s="15" t="s">
        <v>215</v>
      </c>
      <c r="G4" s="15" t="s">
        <v>219</v>
      </c>
      <c r="H4" s="77"/>
    </row>
    <row r="5" spans="1:8" ht="12.75">
      <c r="A5" s="16"/>
      <c r="B5" s="34"/>
      <c r="C5" s="34"/>
      <c r="D5" s="47"/>
      <c r="E5" s="59"/>
      <c r="F5" s="34"/>
      <c r="G5" s="34"/>
      <c r="H5" s="78"/>
    </row>
    <row r="6" spans="1:8" s="1" customFormat="1" ht="17.25">
      <c r="A6" s="114" t="s">
        <v>8</v>
      </c>
      <c r="B6" s="35"/>
      <c r="C6" s="35"/>
      <c r="D6" s="48"/>
      <c r="E6" s="60"/>
      <c r="F6" s="92"/>
      <c r="G6" s="92"/>
      <c r="H6" s="10"/>
    </row>
    <row r="7" spans="1:8" ht="12.75">
      <c r="A7" s="16"/>
      <c r="B7" s="36"/>
      <c r="C7" s="36"/>
      <c r="D7" s="49"/>
      <c r="E7" s="58"/>
      <c r="F7" s="36"/>
      <c r="G7" s="36"/>
      <c r="H7" s="78"/>
    </row>
    <row r="8" spans="1:8" ht="12.75">
      <c r="A8" s="16"/>
      <c r="B8" s="37"/>
      <c r="C8" s="37"/>
      <c r="D8" s="49"/>
      <c r="E8" s="58"/>
      <c r="F8" s="36"/>
      <c r="G8" s="36"/>
      <c r="H8" s="78"/>
    </row>
    <row r="9" spans="1:8" ht="15">
      <c r="A9" s="17" t="s">
        <v>9</v>
      </c>
      <c r="B9" s="38"/>
      <c r="C9" s="38"/>
      <c r="D9" s="50"/>
      <c r="E9" s="58"/>
      <c r="F9" s="37"/>
      <c r="G9" s="37"/>
      <c r="H9" s="11"/>
    </row>
    <row r="10" spans="1:8" ht="12.75">
      <c r="A10" s="16"/>
      <c r="B10" s="37"/>
      <c r="C10" s="37"/>
      <c r="D10" s="49"/>
      <c r="E10" s="58"/>
      <c r="F10" s="36"/>
      <c r="G10" s="36"/>
      <c r="H10" s="78"/>
    </row>
    <row r="11" spans="1:8" ht="26.25">
      <c r="A11" s="18" t="s">
        <v>10</v>
      </c>
      <c r="B11" s="37"/>
      <c r="C11" s="37"/>
      <c r="D11" s="51"/>
      <c r="E11" s="58"/>
      <c r="F11" s="36"/>
      <c r="G11" s="36"/>
      <c r="H11" s="78"/>
    </row>
    <row r="12" spans="1:8" ht="12.75">
      <c r="A12" s="16"/>
      <c r="B12" s="37"/>
      <c r="C12" s="37"/>
      <c r="D12" s="49"/>
      <c r="E12" s="61" t="s">
        <v>235</v>
      </c>
      <c r="F12" s="93"/>
      <c r="G12" s="93"/>
      <c r="H12" s="79"/>
    </row>
    <row r="13" spans="1:8" ht="12.75">
      <c r="A13" s="16"/>
      <c r="B13" s="37"/>
      <c r="C13" s="37"/>
      <c r="D13" s="51">
        <v>3410100</v>
      </c>
      <c r="E13" s="58" t="s">
        <v>192</v>
      </c>
      <c r="F13" s="40">
        <v>1257497.08</v>
      </c>
      <c r="G13" s="40">
        <v>1299312.06</v>
      </c>
      <c r="H13" s="80"/>
    </row>
    <row r="14" spans="1:8" ht="12.75">
      <c r="A14" s="16"/>
      <c r="B14" s="37"/>
      <c r="C14" s="37"/>
      <c r="D14" s="51">
        <v>3410103</v>
      </c>
      <c r="E14" s="58" t="s">
        <v>193</v>
      </c>
      <c r="F14" s="40">
        <v>5037526.61</v>
      </c>
      <c r="G14" s="40">
        <v>5196874.15</v>
      </c>
      <c r="H14" s="80"/>
    </row>
    <row r="15" spans="1:8" ht="12.75">
      <c r="A15" s="16"/>
      <c r="B15" s="37"/>
      <c r="C15" s="37"/>
      <c r="D15" s="51">
        <v>3410106</v>
      </c>
      <c r="E15" s="58" t="s">
        <v>194</v>
      </c>
      <c r="F15" s="103">
        <v>135777.19</v>
      </c>
      <c r="G15" s="103">
        <v>140072.11</v>
      </c>
      <c r="H15" s="80"/>
    </row>
    <row r="16" spans="1:8" ht="12.75">
      <c r="A16" s="16"/>
      <c r="B16" s="37"/>
      <c r="C16" s="37"/>
      <c r="D16" s="51"/>
      <c r="E16" s="62" t="s">
        <v>234</v>
      </c>
      <c r="F16" s="75">
        <f>SUM(F13:F15)</f>
        <v>6430800.880000001</v>
      </c>
      <c r="G16" s="75">
        <f>SUM(G13:G15)</f>
        <v>6636258.320000001</v>
      </c>
      <c r="H16" s="81"/>
    </row>
    <row r="17" spans="1:8" ht="12.75">
      <c r="A17" s="16"/>
      <c r="B17" s="37"/>
      <c r="C17" s="37"/>
      <c r="D17" s="49"/>
      <c r="E17" s="63"/>
      <c r="F17" s="94"/>
      <c r="G17" s="94"/>
      <c r="H17" s="82"/>
    </row>
    <row r="18" spans="1:8" ht="12.75">
      <c r="A18" s="16"/>
      <c r="B18" s="37"/>
      <c r="C18" s="37"/>
      <c r="D18" s="49"/>
      <c r="E18" s="61" t="s">
        <v>236</v>
      </c>
      <c r="F18" s="95"/>
      <c r="G18" s="96"/>
      <c r="H18" s="83"/>
    </row>
    <row r="19" spans="1:8" ht="12.75">
      <c r="A19" s="16"/>
      <c r="B19" s="37"/>
      <c r="C19" s="37"/>
      <c r="D19" s="51">
        <v>3410200</v>
      </c>
      <c r="E19" s="58" t="s">
        <v>226</v>
      </c>
      <c r="F19" s="40">
        <v>1349875.12</v>
      </c>
      <c r="G19" s="40">
        <v>1391579.68</v>
      </c>
      <c r="H19" s="80"/>
    </row>
    <row r="20" spans="1:8" ht="12.75">
      <c r="A20" s="16"/>
      <c r="B20" s="37"/>
      <c r="C20" s="37"/>
      <c r="D20" s="51">
        <v>3410203</v>
      </c>
      <c r="E20" s="58" t="s">
        <v>225</v>
      </c>
      <c r="F20" s="103">
        <v>113900</v>
      </c>
      <c r="G20" s="103">
        <v>116460</v>
      </c>
      <c r="H20" s="80"/>
    </row>
    <row r="21" spans="1:8" ht="12.75">
      <c r="A21" s="16"/>
      <c r="B21" s="37"/>
      <c r="C21" s="37"/>
      <c r="D21" s="49"/>
      <c r="E21" s="62" t="s">
        <v>237</v>
      </c>
      <c r="F21" s="75">
        <f>SUM(F19:F20)</f>
        <v>1463775.12</v>
      </c>
      <c r="G21" s="75">
        <f>SUM(G19:G20)</f>
        <v>1508039.68</v>
      </c>
      <c r="H21" s="81"/>
    </row>
    <row r="22" spans="1:8" ht="12.75">
      <c r="A22" s="16"/>
      <c r="B22" s="37"/>
      <c r="C22" s="37"/>
      <c r="D22" s="49"/>
      <c r="E22" s="64"/>
      <c r="F22" s="94"/>
      <c r="G22" s="94"/>
      <c r="H22" s="82"/>
    </row>
    <row r="23" spans="1:8" ht="12.75">
      <c r="A23" s="16"/>
      <c r="B23" s="37"/>
      <c r="C23" s="37"/>
      <c r="D23" s="49"/>
      <c r="E23" s="61" t="s">
        <v>238</v>
      </c>
      <c r="F23" s="96"/>
      <c r="G23" s="96"/>
      <c r="H23" s="84"/>
    </row>
    <row r="24" spans="1:8" ht="12.75">
      <c r="A24" s="16"/>
      <c r="B24" s="37"/>
      <c r="C24" s="37"/>
      <c r="D24" s="49">
        <v>3410300</v>
      </c>
      <c r="E24" s="58" t="s">
        <v>222</v>
      </c>
      <c r="F24" s="40">
        <v>784600.7</v>
      </c>
      <c r="G24" s="40">
        <v>813234.32</v>
      </c>
      <c r="H24" s="80"/>
    </row>
    <row r="25" spans="1:8" ht="12.75">
      <c r="A25" s="16"/>
      <c r="B25" s="37"/>
      <c r="C25" s="37"/>
      <c r="D25" s="49">
        <v>3410303</v>
      </c>
      <c r="E25" s="58" t="s">
        <v>223</v>
      </c>
      <c r="F25" s="40">
        <v>2250079.72</v>
      </c>
      <c r="G25" s="40">
        <v>2332195.32</v>
      </c>
      <c r="H25" s="80"/>
    </row>
    <row r="26" spans="1:8" ht="12.75">
      <c r="A26" s="16"/>
      <c r="B26" s="37"/>
      <c r="C26" s="37"/>
      <c r="D26" s="49">
        <v>3410306</v>
      </c>
      <c r="E26" s="58" t="s">
        <v>224</v>
      </c>
      <c r="F26" s="103">
        <v>121683.58</v>
      </c>
      <c r="G26" s="103">
        <v>126124.36</v>
      </c>
      <c r="H26" s="80"/>
    </row>
    <row r="27" spans="1:8" ht="12.75">
      <c r="A27" s="16"/>
      <c r="B27" s="37"/>
      <c r="C27" s="37"/>
      <c r="D27" s="49"/>
      <c r="E27" s="62" t="s">
        <v>239</v>
      </c>
      <c r="F27" s="75">
        <f>SUM(F24:F26)</f>
        <v>3156364</v>
      </c>
      <c r="G27" s="75">
        <f>SUM(G24:G26)</f>
        <v>3271553.9999999995</v>
      </c>
      <c r="H27" s="81"/>
    </row>
    <row r="28" spans="1:8" ht="12.75">
      <c r="A28" s="16"/>
      <c r="B28" s="37"/>
      <c r="C28" s="37"/>
      <c r="D28" s="49"/>
      <c r="E28" s="65"/>
      <c r="F28" s="97"/>
      <c r="G28" s="98"/>
      <c r="H28" s="85"/>
    </row>
    <row r="29" spans="1:8" ht="26.25">
      <c r="A29" s="19" t="s">
        <v>240</v>
      </c>
      <c r="B29" s="39">
        <f>F16+F21+F27</f>
        <v>11050940</v>
      </c>
      <c r="C29" s="39">
        <f>G16+G21+G27</f>
        <v>11415852</v>
      </c>
      <c r="D29" s="49"/>
      <c r="E29" s="65"/>
      <c r="F29" s="98"/>
      <c r="G29" s="98"/>
      <c r="H29" s="86"/>
    </row>
    <row r="30" spans="1:8" ht="12.75">
      <c r="A30" s="16"/>
      <c r="B30" s="37"/>
      <c r="C30" s="37"/>
      <c r="D30" s="49"/>
      <c r="E30" s="58"/>
      <c r="F30" s="94"/>
      <c r="G30" s="94"/>
      <c r="H30" s="82"/>
    </row>
    <row r="31" spans="1:8" ht="12.75">
      <c r="A31" s="20" t="s">
        <v>11</v>
      </c>
      <c r="B31" s="37"/>
      <c r="C31" s="37"/>
      <c r="D31" s="51"/>
      <c r="E31" s="58"/>
      <c r="F31" s="94"/>
      <c r="G31" s="94"/>
      <c r="H31" s="82"/>
    </row>
    <row r="32" spans="1:8" ht="12.75">
      <c r="A32" s="20"/>
      <c r="B32" s="37"/>
      <c r="C32" s="37"/>
      <c r="D32" s="51"/>
      <c r="E32" s="61" t="s">
        <v>12</v>
      </c>
      <c r="F32" s="40"/>
      <c r="G32" s="94"/>
      <c r="H32" s="80"/>
    </row>
    <row r="33" spans="1:8" ht="12.75">
      <c r="A33" s="20"/>
      <c r="B33" s="37"/>
      <c r="C33" s="37"/>
      <c r="D33" s="51">
        <v>3420100</v>
      </c>
      <c r="E33" s="58" t="s">
        <v>188</v>
      </c>
      <c r="F33" s="103">
        <v>158000</v>
      </c>
      <c r="G33" s="103">
        <v>158000</v>
      </c>
      <c r="H33" s="80"/>
    </row>
    <row r="34" spans="1:8" ht="12.75">
      <c r="A34" s="20"/>
      <c r="B34" s="37"/>
      <c r="C34" s="37"/>
      <c r="D34" s="51"/>
      <c r="E34" s="62" t="s">
        <v>189</v>
      </c>
      <c r="F34" s="75">
        <f>SUM(F33)</f>
        <v>158000</v>
      </c>
      <c r="G34" s="75">
        <f>SUM(G33)</f>
        <v>158000</v>
      </c>
      <c r="H34" s="81"/>
    </row>
    <row r="35" spans="1:8" ht="12.75">
      <c r="A35" s="20"/>
      <c r="B35" s="37"/>
      <c r="C35" s="37"/>
      <c r="D35" s="51"/>
      <c r="E35" s="62"/>
      <c r="F35" s="75"/>
      <c r="G35" s="75"/>
      <c r="H35" s="81"/>
    </row>
    <row r="36" spans="1:8" ht="12.75">
      <c r="A36" s="21" t="s">
        <v>190</v>
      </c>
      <c r="B36" s="39">
        <f>F34</f>
        <v>158000</v>
      </c>
      <c r="C36" s="39">
        <f>G34</f>
        <v>158000</v>
      </c>
      <c r="D36" s="51"/>
      <c r="E36" s="58"/>
      <c r="F36" s="40"/>
      <c r="G36" s="94"/>
      <c r="H36" s="80"/>
    </row>
    <row r="37" spans="1:8" ht="12.75">
      <c r="A37" s="20"/>
      <c r="B37" s="37"/>
      <c r="C37" s="37"/>
      <c r="D37" s="51"/>
      <c r="E37" s="58"/>
      <c r="F37" s="94"/>
      <c r="G37" s="94"/>
      <c r="H37" s="82"/>
    </row>
    <row r="38" spans="1:8" ht="12.75">
      <c r="A38" s="22"/>
      <c r="B38" s="37"/>
      <c r="C38" s="37"/>
      <c r="D38" s="51"/>
      <c r="E38" s="58"/>
      <c r="F38" s="94"/>
      <c r="G38" s="94"/>
      <c r="H38" s="82"/>
    </row>
    <row r="39" spans="1:8" ht="12.75">
      <c r="A39" s="20" t="s">
        <v>13</v>
      </c>
      <c r="B39" s="37"/>
      <c r="C39" s="37"/>
      <c r="D39" s="51"/>
      <c r="E39" s="58"/>
      <c r="F39" s="108"/>
      <c r="G39" s="107"/>
      <c r="H39" s="80"/>
    </row>
    <row r="40" spans="1:8" ht="12.75">
      <c r="A40" s="20"/>
      <c r="B40" s="37"/>
      <c r="C40" s="37"/>
      <c r="D40" s="51"/>
      <c r="E40" s="61" t="s">
        <v>14</v>
      </c>
      <c r="F40" s="40"/>
      <c r="G40" s="94"/>
      <c r="H40" s="80"/>
    </row>
    <row r="41" spans="1:8" ht="12.75">
      <c r="A41" s="20"/>
      <c r="B41" s="37"/>
      <c r="C41" s="37"/>
      <c r="D41" s="51">
        <v>3450106</v>
      </c>
      <c r="E41" s="58" t="s">
        <v>205</v>
      </c>
      <c r="F41" s="103">
        <f>19000+13000</f>
        <v>32000</v>
      </c>
      <c r="G41" s="103">
        <f>19000+13000</f>
        <v>32000</v>
      </c>
      <c r="H41" s="80"/>
    </row>
    <row r="42" spans="1:8" ht="12.75">
      <c r="A42" s="20"/>
      <c r="B42" s="37"/>
      <c r="C42" s="37"/>
      <c r="D42" s="51"/>
      <c r="E42" s="62" t="s">
        <v>183</v>
      </c>
      <c r="F42" s="75">
        <f>SUM(F41)</f>
        <v>32000</v>
      </c>
      <c r="G42" s="75">
        <f>SUM(G41)</f>
        <v>32000</v>
      </c>
      <c r="H42" s="81"/>
    </row>
    <row r="43" spans="1:8" ht="12.75">
      <c r="A43" s="16"/>
      <c r="B43" s="37"/>
      <c r="C43" s="37"/>
      <c r="D43" s="49"/>
      <c r="E43" s="58"/>
      <c r="F43" s="40"/>
      <c r="G43" s="94"/>
      <c r="H43" s="80"/>
    </row>
    <row r="44" spans="1:8" ht="12.75">
      <c r="A44" s="16"/>
      <c r="B44" s="37"/>
      <c r="C44" s="37"/>
      <c r="D44" s="49"/>
      <c r="E44" s="61"/>
      <c r="F44" s="94"/>
      <c r="G44" s="94"/>
      <c r="H44" s="82"/>
    </row>
    <row r="45" spans="1:8" ht="12.75">
      <c r="A45" s="16"/>
      <c r="B45" s="37"/>
      <c r="C45" s="37"/>
      <c r="D45" s="49"/>
      <c r="E45" s="62"/>
      <c r="F45" s="99"/>
      <c r="G45" s="99"/>
      <c r="H45" s="87"/>
    </row>
    <row r="46" spans="1:8" ht="12.75">
      <c r="A46" s="23"/>
      <c r="B46" s="40"/>
      <c r="C46" s="40"/>
      <c r="D46" s="49"/>
      <c r="E46" s="58"/>
      <c r="F46" s="94"/>
      <c r="G46" s="94"/>
      <c r="H46" s="82"/>
    </row>
    <row r="47" spans="1:8" ht="12.75">
      <c r="A47" s="20" t="s">
        <v>13</v>
      </c>
      <c r="B47" s="37"/>
      <c r="C47" s="37"/>
      <c r="D47" s="49"/>
      <c r="E47" s="66" t="s">
        <v>186</v>
      </c>
      <c r="F47" s="94"/>
      <c r="G47" s="94"/>
      <c r="H47" s="82"/>
    </row>
    <row r="48" spans="1:8" ht="12.75">
      <c r="A48" s="16"/>
      <c r="B48" s="37"/>
      <c r="C48" s="37"/>
      <c r="D48" s="49">
        <v>3450209</v>
      </c>
      <c r="E48" s="67" t="s">
        <v>184</v>
      </c>
      <c r="F48" s="40"/>
      <c r="G48" s="94"/>
      <c r="H48" s="80"/>
    </row>
    <row r="49" spans="1:8" ht="13.5" customHeight="1">
      <c r="A49" s="16"/>
      <c r="B49" s="37"/>
      <c r="C49" s="37"/>
      <c r="D49" s="49"/>
      <c r="E49" s="68" t="s">
        <v>185</v>
      </c>
      <c r="F49" s="75"/>
      <c r="G49" s="99"/>
      <c r="H49" s="81"/>
    </row>
    <row r="50" spans="1:8" ht="12.75">
      <c r="A50" s="16"/>
      <c r="B50" s="37"/>
      <c r="C50" s="37"/>
      <c r="D50" s="49"/>
      <c r="E50" s="58"/>
      <c r="F50" s="40"/>
      <c r="G50" s="94"/>
      <c r="H50" s="80"/>
    </row>
    <row r="51" spans="1:8" ht="12.75">
      <c r="A51" s="16"/>
      <c r="B51" s="37"/>
      <c r="C51" s="37"/>
      <c r="D51" s="49"/>
      <c r="E51" s="61" t="s">
        <v>15</v>
      </c>
      <c r="F51" s="40"/>
      <c r="G51" s="94"/>
      <c r="H51" s="80"/>
    </row>
    <row r="52" spans="1:8" ht="12.75">
      <c r="A52" s="16"/>
      <c r="B52" s="37"/>
      <c r="C52" s="37"/>
      <c r="D52" s="49">
        <v>3450200</v>
      </c>
      <c r="E52" s="58" t="s">
        <v>204</v>
      </c>
      <c r="F52" s="103">
        <f>10000+10000+5000</f>
        <v>25000</v>
      </c>
      <c r="G52" s="103">
        <f>10000+10000+5000</f>
        <v>25000</v>
      </c>
      <c r="H52" s="80"/>
    </row>
    <row r="53" spans="1:8" ht="12.75">
      <c r="A53" s="16"/>
      <c r="B53" s="37"/>
      <c r="C53" s="37"/>
      <c r="D53" s="49"/>
      <c r="E53" s="62" t="s">
        <v>187</v>
      </c>
      <c r="F53" s="75">
        <f>SUM(F52)</f>
        <v>25000</v>
      </c>
      <c r="G53" s="75">
        <f>SUM(G52)</f>
        <v>25000</v>
      </c>
      <c r="H53" s="81"/>
    </row>
    <row r="54" spans="1:8" ht="36" customHeight="1">
      <c r="A54" s="24" t="s">
        <v>191</v>
      </c>
      <c r="B54" s="39">
        <f>F42+F45+F49+F53</f>
        <v>57000</v>
      </c>
      <c r="C54" s="39">
        <f>G42+G45+G49+G53</f>
        <v>57000</v>
      </c>
      <c r="D54" s="49"/>
      <c r="E54" s="58"/>
      <c r="F54" s="40"/>
      <c r="G54" s="94"/>
      <c r="H54" s="80"/>
    </row>
    <row r="55" spans="1:8" ht="12.75">
      <c r="A55" s="16"/>
      <c r="B55" s="37"/>
      <c r="C55" s="37"/>
      <c r="D55" s="49"/>
      <c r="E55" s="58"/>
      <c r="F55" s="94"/>
      <c r="G55" s="94"/>
      <c r="H55" s="82"/>
    </row>
    <row r="56" spans="1:8" ht="12.75">
      <c r="A56" s="16"/>
      <c r="B56" s="37"/>
      <c r="C56" s="37"/>
      <c r="D56" s="49"/>
      <c r="E56" s="58"/>
      <c r="F56" s="94"/>
      <c r="G56" s="94"/>
      <c r="H56" s="82"/>
    </row>
    <row r="57" spans="1:8" ht="15.75" thickBot="1">
      <c r="A57" s="25" t="s">
        <v>203</v>
      </c>
      <c r="B57" s="41">
        <f>SUM(B29:B54)</f>
        <v>11265940</v>
      </c>
      <c r="C57" s="41">
        <f>SUM(C29:C54)</f>
        <v>11630852</v>
      </c>
      <c r="D57" s="52"/>
      <c r="E57" s="58"/>
      <c r="F57" s="94"/>
      <c r="G57" s="94"/>
      <c r="H57" s="82"/>
    </row>
    <row r="58" spans="1:8" ht="13.5" thickTop="1">
      <c r="A58" s="16"/>
      <c r="B58" s="37"/>
      <c r="C58" s="37"/>
      <c r="D58" s="49"/>
      <c r="E58" s="58"/>
      <c r="F58" s="94"/>
      <c r="G58" s="94"/>
      <c r="H58" s="82"/>
    </row>
    <row r="59" spans="1:8" ht="36" customHeight="1">
      <c r="A59" s="26" t="s">
        <v>16</v>
      </c>
      <c r="B59" s="38"/>
      <c r="C59" s="38"/>
      <c r="D59" s="50"/>
      <c r="E59" s="58"/>
      <c r="F59" s="40"/>
      <c r="G59" s="94"/>
      <c r="H59" s="80"/>
    </row>
    <row r="60" spans="1:8" ht="29.25" customHeight="1">
      <c r="A60" s="28" t="s">
        <v>17</v>
      </c>
      <c r="B60" s="37"/>
      <c r="C60" s="37"/>
      <c r="D60" s="51"/>
      <c r="E60" s="58"/>
      <c r="F60" s="40"/>
      <c r="G60" s="94"/>
      <c r="H60" s="80"/>
    </row>
    <row r="61" spans="1:8" ht="12.75">
      <c r="A61" s="20"/>
      <c r="B61" s="37"/>
      <c r="C61" s="37"/>
      <c r="D61" s="51"/>
      <c r="E61" s="61" t="s">
        <v>199</v>
      </c>
      <c r="F61" s="40"/>
      <c r="G61" s="94"/>
      <c r="H61" s="80"/>
    </row>
    <row r="62" spans="1:8" ht="12.75">
      <c r="A62" s="20"/>
      <c r="B62" s="37"/>
      <c r="C62" s="37"/>
      <c r="D62" s="51">
        <v>3470100</v>
      </c>
      <c r="E62" s="58" t="s">
        <v>200</v>
      </c>
      <c r="F62" s="103">
        <v>151200</v>
      </c>
      <c r="G62" s="103">
        <v>151200</v>
      </c>
      <c r="H62" s="80"/>
    </row>
    <row r="63" spans="1:8" ht="12.75">
      <c r="A63" s="20"/>
      <c r="B63" s="37"/>
      <c r="C63" s="37"/>
      <c r="D63" s="51"/>
      <c r="E63" s="62" t="s">
        <v>201</v>
      </c>
      <c r="F63" s="75">
        <f>SUM(F62)</f>
        <v>151200</v>
      </c>
      <c r="G63" s="75">
        <f>SUM(G62)</f>
        <v>151200</v>
      </c>
      <c r="H63" s="81"/>
    </row>
    <row r="64" spans="1:8" ht="26.25">
      <c r="A64" s="24" t="s">
        <v>202</v>
      </c>
      <c r="B64" s="39">
        <f>F63</f>
        <v>151200</v>
      </c>
      <c r="C64" s="39">
        <f>G63</f>
        <v>151200</v>
      </c>
      <c r="D64" s="49"/>
      <c r="E64" s="58"/>
      <c r="F64" s="40"/>
      <c r="G64" s="94"/>
      <c r="H64" s="80"/>
    </row>
    <row r="65" spans="1:8" ht="12.75">
      <c r="A65" s="16"/>
      <c r="B65" s="37"/>
      <c r="C65" s="37"/>
      <c r="D65" s="49"/>
      <c r="E65" s="58"/>
      <c r="F65" s="107"/>
      <c r="G65" s="107"/>
      <c r="H65" s="82"/>
    </row>
    <row r="66" spans="1:8" ht="36.75" customHeight="1" thickBot="1">
      <c r="A66" s="27" t="s">
        <v>48</v>
      </c>
      <c r="B66" s="41">
        <f>SUM(B64:B65)</f>
        <v>151200</v>
      </c>
      <c r="C66" s="41">
        <f>SUM(C64:C65)</f>
        <v>151200</v>
      </c>
      <c r="D66" s="52"/>
      <c r="E66" s="58"/>
      <c r="F66" s="94"/>
      <c r="G66" s="94"/>
      <c r="H66" s="82"/>
    </row>
    <row r="67" spans="1:8" ht="13.5" thickTop="1">
      <c r="A67" s="16"/>
      <c r="B67" s="37"/>
      <c r="C67" s="37"/>
      <c r="D67" s="49"/>
      <c r="E67" s="58"/>
      <c r="F67" s="94"/>
      <c r="G67" s="94"/>
      <c r="H67" s="82"/>
    </row>
    <row r="68" spans="1:8" ht="15">
      <c r="A68" s="17" t="s">
        <v>0</v>
      </c>
      <c r="B68" s="38"/>
      <c r="C68" s="38"/>
      <c r="D68" s="50"/>
      <c r="E68" s="58"/>
      <c r="F68" s="94"/>
      <c r="G68" s="94"/>
      <c r="H68" s="82"/>
    </row>
    <row r="69" spans="1:8" ht="12.75">
      <c r="A69" s="20"/>
      <c r="B69" s="37"/>
      <c r="C69" s="37"/>
      <c r="D69" s="51"/>
      <c r="E69" s="58"/>
      <c r="F69" s="94"/>
      <c r="G69" s="94"/>
      <c r="H69" s="82"/>
    </row>
    <row r="70" spans="1:8" ht="12.75">
      <c r="A70" s="20" t="s">
        <v>1</v>
      </c>
      <c r="B70" s="37"/>
      <c r="C70" s="37"/>
      <c r="D70" s="51"/>
      <c r="E70" s="58"/>
      <c r="F70" s="94"/>
      <c r="G70" s="94"/>
      <c r="H70" s="82"/>
    </row>
    <row r="71" spans="1:8" ht="12.75">
      <c r="A71" s="20"/>
      <c r="B71" s="37"/>
      <c r="C71" s="37"/>
      <c r="D71" s="51"/>
      <c r="E71" s="61" t="s">
        <v>241</v>
      </c>
      <c r="F71" s="40"/>
      <c r="G71" s="94"/>
      <c r="H71" s="80"/>
    </row>
    <row r="72" spans="1:8" ht="12.75">
      <c r="A72" s="20"/>
      <c r="B72" s="37"/>
      <c r="C72" s="37"/>
      <c r="D72" s="51">
        <v>3110100</v>
      </c>
      <c r="E72" s="58" t="s">
        <v>53</v>
      </c>
      <c r="F72" s="40">
        <f>1128650+228850+142600</f>
        <v>1500100</v>
      </c>
      <c r="G72" s="40">
        <f>1146330+229270+152840</f>
        <v>1528440</v>
      </c>
      <c r="H72" s="80"/>
    </row>
    <row r="73" spans="1:8" ht="12.75">
      <c r="A73" s="20"/>
      <c r="B73" s="37"/>
      <c r="C73" s="37"/>
      <c r="D73" s="51">
        <v>3110103</v>
      </c>
      <c r="E73" s="58" t="s">
        <v>54</v>
      </c>
      <c r="F73" s="103">
        <f>250000+70000+120000</f>
        <v>440000</v>
      </c>
      <c r="G73" s="103">
        <f>250000+70000+120000</f>
        <v>440000</v>
      </c>
      <c r="H73" s="80"/>
    </row>
    <row r="74" spans="1:8" ht="12.75">
      <c r="A74" s="16"/>
      <c r="B74" s="37"/>
      <c r="C74" s="37"/>
      <c r="D74" s="49"/>
      <c r="E74" s="62" t="s">
        <v>243</v>
      </c>
      <c r="F74" s="100">
        <f>SUM(F72:F73)</f>
        <v>1940100</v>
      </c>
      <c r="G74" s="100">
        <f>SUM(G72:G73)</f>
        <v>1968440</v>
      </c>
      <c r="H74" s="88"/>
    </row>
    <row r="75" spans="1:8" ht="12.75">
      <c r="A75" s="16"/>
      <c r="B75" s="37"/>
      <c r="C75" s="37"/>
      <c r="D75" s="49"/>
      <c r="E75" s="62"/>
      <c r="F75" s="100"/>
      <c r="G75" s="111"/>
      <c r="H75" s="88"/>
    </row>
    <row r="76" spans="1:8" ht="12.75">
      <c r="A76" s="16"/>
      <c r="B76" s="37"/>
      <c r="C76" s="37"/>
      <c r="D76" s="49"/>
      <c r="E76" s="61" t="s">
        <v>242</v>
      </c>
      <c r="F76" s="100"/>
      <c r="G76" s="111"/>
      <c r="H76" s="88"/>
    </row>
    <row r="77" spans="1:8" ht="12.75">
      <c r="A77" s="16"/>
      <c r="B77" s="37"/>
      <c r="C77" s="37"/>
      <c r="D77" s="49">
        <v>3110200</v>
      </c>
      <c r="E77" s="58" t="s">
        <v>227</v>
      </c>
      <c r="F77" s="101">
        <v>186250</v>
      </c>
      <c r="G77" s="101">
        <v>186820</v>
      </c>
      <c r="H77" s="89"/>
    </row>
    <row r="78" spans="1:8" ht="12.75">
      <c r="A78" s="16"/>
      <c r="B78" s="37"/>
      <c r="C78" s="37"/>
      <c r="D78" s="49">
        <v>3110203</v>
      </c>
      <c r="E78" s="58" t="s">
        <v>55</v>
      </c>
      <c r="F78" s="101">
        <v>158650</v>
      </c>
      <c r="G78" s="101">
        <v>158650</v>
      </c>
      <c r="H78" s="89"/>
    </row>
    <row r="79" spans="1:8" ht="12.75">
      <c r="A79" s="16"/>
      <c r="B79" s="37"/>
      <c r="C79" s="37"/>
      <c r="D79" s="49">
        <v>3110206</v>
      </c>
      <c r="E79" s="58" t="s">
        <v>56</v>
      </c>
      <c r="F79" s="101">
        <v>172970</v>
      </c>
      <c r="G79" s="101">
        <v>177890</v>
      </c>
      <c r="H79" s="89"/>
    </row>
    <row r="80" spans="1:8" ht="12.75">
      <c r="A80" s="16"/>
      <c r="B80" s="37"/>
      <c r="C80" s="37"/>
      <c r="D80" s="49">
        <v>3110209</v>
      </c>
      <c r="E80" s="58" t="s">
        <v>57</v>
      </c>
      <c r="F80" s="101">
        <v>2000</v>
      </c>
      <c r="G80" s="101">
        <v>2000</v>
      </c>
      <c r="H80" s="89"/>
    </row>
    <row r="81" spans="1:8" ht="12.75">
      <c r="A81" s="16"/>
      <c r="B81" s="37"/>
      <c r="C81" s="37"/>
      <c r="D81" s="49">
        <v>3110212</v>
      </c>
      <c r="E81" s="58" t="s">
        <v>58</v>
      </c>
      <c r="F81" s="104">
        <v>2000</v>
      </c>
      <c r="G81" s="104">
        <v>2000</v>
      </c>
      <c r="H81" s="89"/>
    </row>
    <row r="82" spans="1:8" ht="12.75">
      <c r="A82" s="16"/>
      <c r="B82" s="37"/>
      <c r="C82" s="37"/>
      <c r="D82" s="49"/>
      <c r="E82" s="62" t="s">
        <v>244</v>
      </c>
      <c r="F82" s="100">
        <f>SUM(F77:F81)</f>
        <v>521870</v>
      </c>
      <c r="G82" s="100">
        <f>SUM(G77:G81)</f>
        <v>527360</v>
      </c>
      <c r="H82" s="88"/>
    </row>
    <row r="83" spans="1:8" ht="12.75">
      <c r="A83" s="20"/>
      <c r="B83" s="37"/>
      <c r="C83" s="37"/>
      <c r="D83" s="49"/>
      <c r="E83" s="58"/>
      <c r="F83" s="94"/>
      <c r="G83" s="94"/>
      <c r="H83" s="82"/>
    </row>
    <row r="84" spans="1:8" ht="12.75">
      <c r="A84" s="16"/>
      <c r="B84" s="37"/>
      <c r="C84" s="37"/>
      <c r="D84" s="49"/>
      <c r="E84" s="61" t="s">
        <v>2</v>
      </c>
      <c r="F84" s="101"/>
      <c r="G84" s="112"/>
      <c r="H84" s="89"/>
    </row>
    <row r="85" spans="1:8" ht="12.75">
      <c r="A85" s="16"/>
      <c r="B85" s="37"/>
      <c r="C85" s="37"/>
      <c r="D85" s="49">
        <v>3110300</v>
      </c>
      <c r="E85" s="58" t="s">
        <v>59</v>
      </c>
      <c r="F85" s="101">
        <f>258770+393090</f>
        <v>651860</v>
      </c>
      <c r="G85" s="101">
        <f>337250+402250</f>
        <v>739500</v>
      </c>
      <c r="H85" s="89"/>
    </row>
    <row r="86" spans="1:8" ht="12.75">
      <c r="A86" s="16"/>
      <c r="B86" s="37"/>
      <c r="C86" s="37"/>
      <c r="D86" s="49">
        <v>3110303</v>
      </c>
      <c r="E86" s="58" t="s">
        <v>60</v>
      </c>
      <c r="F86" s="101">
        <v>234810</v>
      </c>
      <c r="G86" s="101">
        <f>239910</f>
        <v>239910</v>
      </c>
      <c r="H86" s="89"/>
    </row>
    <row r="87" spans="1:8" ht="12.75">
      <c r="A87" s="16"/>
      <c r="B87" s="37"/>
      <c r="C87" s="37"/>
      <c r="D87" s="49">
        <v>3110306</v>
      </c>
      <c r="E87" s="58" t="s">
        <v>61</v>
      </c>
      <c r="F87" s="101">
        <f>674480+377470+40870</f>
        <v>1092820</v>
      </c>
      <c r="G87" s="101">
        <f>676300+309900+112570</f>
        <v>1098770</v>
      </c>
      <c r="H87" s="89"/>
    </row>
    <row r="88" spans="1:8" ht="12.75">
      <c r="A88" s="16"/>
      <c r="B88" s="37"/>
      <c r="C88" s="37"/>
      <c r="D88" s="49">
        <v>3110309</v>
      </c>
      <c r="E88" s="58" t="s">
        <v>62</v>
      </c>
      <c r="F88" s="101">
        <f>148850+903400</f>
        <v>1052250</v>
      </c>
      <c r="G88" s="101">
        <f>954100+103510</f>
        <v>1057610</v>
      </c>
      <c r="H88" s="89"/>
    </row>
    <row r="89" spans="1:8" ht="12.75">
      <c r="A89" s="16"/>
      <c r="B89" s="37"/>
      <c r="C89" s="37"/>
      <c r="D89" s="49">
        <v>3110318</v>
      </c>
      <c r="E89" s="58" t="s">
        <v>63</v>
      </c>
      <c r="F89" s="101">
        <f>2000+2000+1000</f>
        <v>5000</v>
      </c>
      <c r="G89" s="101">
        <f>2000+2000+1000</f>
        <v>5000</v>
      </c>
      <c r="H89" s="89"/>
    </row>
    <row r="90" spans="1:8" ht="12.75">
      <c r="A90" s="16"/>
      <c r="B90" s="37"/>
      <c r="C90" s="37"/>
      <c r="D90" s="49">
        <v>3110321</v>
      </c>
      <c r="E90" s="58" t="s">
        <v>64</v>
      </c>
      <c r="F90" s="104">
        <f>5000</f>
        <v>5000</v>
      </c>
      <c r="G90" s="104">
        <f>5000</f>
        <v>5000</v>
      </c>
      <c r="H90" s="89"/>
    </row>
    <row r="91" spans="1:8" ht="12.75">
      <c r="A91" s="16"/>
      <c r="B91" s="37"/>
      <c r="C91" s="37"/>
      <c r="D91" s="49"/>
      <c r="E91" s="62" t="s">
        <v>65</v>
      </c>
      <c r="F91" s="100">
        <f>SUM(F85:F90)</f>
        <v>3041740</v>
      </c>
      <c r="G91" s="100">
        <f>SUM(G85:G90)</f>
        <v>3145790</v>
      </c>
      <c r="H91" s="88"/>
    </row>
    <row r="92" spans="1:8" ht="12.75">
      <c r="A92" s="20" t="s">
        <v>69</v>
      </c>
      <c r="B92" s="37"/>
      <c r="C92" s="37"/>
      <c r="D92" s="49"/>
      <c r="E92" s="62"/>
      <c r="F92" s="100"/>
      <c r="G92" s="111"/>
      <c r="H92" s="88"/>
    </row>
    <row r="93" spans="1:8" ht="12.75">
      <c r="A93" s="16"/>
      <c r="B93" s="37"/>
      <c r="C93" s="37"/>
      <c r="D93" s="49"/>
      <c r="E93" s="61" t="s">
        <v>3</v>
      </c>
      <c r="F93" s="100"/>
      <c r="G93" s="111"/>
      <c r="H93" s="88"/>
    </row>
    <row r="94" spans="1:8" ht="12.75">
      <c r="A94" s="16"/>
      <c r="B94" s="37"/>
      <c r="C94" s="37"/>
      <c r="D94" s="49">
        <v>3110400</v>
      </c>
      <c r="E94" s="69" t="s">
        <v>66</v>
      </c>
      <c r="F94" s="101">
        <f>19000+13000</f>
        <v>32000</v>
      </c>
      <c r="G94" s="101">
        <f>19000+13000</f>
        <v>32000</v>
      </c>
      <c r="H94" s="89"/>
    </row>
    <row r="95" spans="1:8" ht="12.75">
      <c r="A95" s="16"/>
      <c r="B95" s="37"/>
      <c r="C95" s="37"/>
      <c r="D95" s="49">
        <v>3110403</v>
      </c>
      <c r="E95" s="69" t="s">
        <v>67</v>
      </c>
      <c r="F95" s="104">
        <v>4000</v>
      </c>
      <c r="G95" s="104">
        <v>4000</v>
      </c>
      <c r="H95" s="89"/>
    </row>
    <row r="96" spans="1:8" ht="12.75">
      <c r="A96" s="16"/>
      <c r="B96" s="37"/>
      <c r="C96" s="37"/>
      <c r="D96" s="49"/>
      <c r="E96" s="62" t="s">
        <v>68</v>
      </c>
      <c r="F96" s="100">
        <f>SUM(F94:F95)</f>
        <v>36000</v>
      </c>
      <c r="G96" s="100">
        <f>SUM(G94:G95)</f>
        <v>36000</v>
      </c>
      <c r="H96" s="88"/>
    </row>
    <row r="97" spans="1:8" ht="12.75">
      <c r="A97" s="20"/>
      <c r="B97" s="37"/>
      <c r="C97" s="37"/>
      <c r="D97" s="49"/>
      <c r="E97" s="58"/>
      <c r="F97" s="94"/>
      <c r="G97" s="94"/>
      <c r="H97" s="82"/>
    </row>
    <row r="98" spans="1:8" ht="12.75">
      <c r="A98" s="21" t="s">
        <v>245</v>
      </c>
      <c r="B98" s="39">
        <f>F74+F82+F91+F96</f>
        <v>5539710</v>
      </c>
      <c r="C98" s="39">
        <f>G74+G82+G91+G96</f>
        <v>5677590</v>
      </c>
      <c r="D98" s="49"/>
      <c r="E98" s="58"/>
      <c r="F98" s="107"/>
      <c r="G98" s="107"/>
      <c r="H98" s="82"/>
    </row>
    <row r="99" spans="1:8" ht="12.75">
      <c r="A99" s="20" t="s">
        <v>4</v>
      </c>
      <c r="B99" s="37"/>
      <c r="C99" s="37"/>
      <c r="D99" s="51"/>
      <c r="E99" s="58"/>
      <c r="F99" s="94"/>
      <c r="G99" s="94"/>
      <c r="H99" s="82"/>
    </row>
    <row r="100" spans="1:8" ht="12.75">
      <c r="A100" s="16"/>
      <c r="B100" s="37"/>
      <c r="C100" s="37"/>
      <c r="D100" s="49"/>
      <c r="E100" s="61" t="s">
        <v>5</v>
      </c>
      <c r="F100" s="40"/>
      <c r="G100" s="94"/>
      <c r="H100" s="80"/>
    </row>
    <row r="101" spans="1:8" ht="12.75">
      <c r="A101" s="16"/>
      <c r="B101" s="37"/>
      <c r="C101" s="37"/>
      <c r="D101" s="49">
        <v>3120106</v>
      </c>
      <c r="E101" s="58" t="s">
        <v>84</v>
      </c>
      <c r="F101" s="108">
        <f>140000+10000</f>
        <v>150000</v>
      </c>
      <c r="G101" s="108">
        <f>140000+10000</f>
        <v>150000</v>
      </c>
      <c r="H101" s="80"/>
    </row>
    <row r="102" spans="1:8" ht="12.75">
      <c r="A102" s="16"/>
      <c r="B102" s="37"/>
      <c r="C102" s="37"/>
      <c r="D102" s="49">
        <v>3120109</v>
      </c>
      <c r="E102" s="58" t="s">
        <v>70</v>
      </c>
      <c r="F102" s="108">
        <f>45000+5000</f>
        <v>50000</v>
      </c>
      <c r="G102" s="108">
        <f>45000+5000</f>
        <v>50000</v>
      </c>
      <c r="H102" s="80"/>
    </row>
    <row r="103" spans="1:8" ht="12.75">
      <c r="A103" s="16"/>
      <c r="B103" s="37"/>
      <c r="C103" s="37"/>
      <c r="D103" s="49">
        <v>3120200</v>
      </c>
      <c r="E103" s="58" t="s">
        <v>208</v>
      </c>
      <c r="F103" s="108">
        <v>30000</v>
      </c>
      <c r="G103" s="108">
        <v>30000</v>
      </c>
      <c r="H103" s="80"/>
    </row>
    <row r="104" spans="1:8" ht="12.75">
      <c r="A104" s="16"/>
      <c r="B104" s="37"/>
      <c r="C104" s="37"/>
      <c r="D104" s="49">
        <v>3120203</v>
      </c>
      <c r="E104" s="58" t="s">
        <v>71</v>
      </c>
      <c r="F104" s="108">
        <v>35000</v>
      </c>
      <c r="G104" s="108">
        <v>35000</v>
      </c>
      <c r="H104" s="80"/>
    </row>
    <row r="105" spans="1:8" ht="12.75">
      <c r="A105" s="16"/>
      <c r="B105" s="37"/>
      <c r="C105" s="37"/>
      <c r="D105" s="49">
        <v>3120221</v>
      </c>
      <c r="E105" s="58" t="s">
        <v>72</v>
      </c>
      <c r="F105" s="108">
        <v>40000</v>
      </c>
      <c r="G105" s="108">
        <v>40000</v>
      </c>
      <c r="H105" s="80"/>
    </row>
    <row r="106" spans="1:8" ht="12.75">
      <c r="A106" s="16"/>
      <c r="B106" s="37"/>
      <c r="C106" s="37"/>
      <c r="D106" s="49">
        <v>3120303</v>
      </c>
      <c r="E106" s="58" t="s">
        <v>73</v>
      </c>
      <c r="F106" s="108">
        <f>20000+30000+7000+25000</f>
        <v>82000</v>
      </c>
      <c r="G106" s="108">
        <f>50000+25000+7000+30000</f>
        <v>112000</v>
      </c>
      <c r="H106" s="80"/>
    </row>
    <row r="107" spans="1:8" ht="12.75">
      <c r="A107" s="16"/>
      <c r="B107" s="37"/>
      <c r="C107" s="37"/>
      <c r="D107" s="49">
        <v>3120306</v>
      </c>
      <c r="E107" s="58" t="s">
        <v>74</v>
      </c>
      <c r="F107" s="108">
        <f>5000+5000+4000+10000</f>
        <v>24000</v>
      </c>
      <c r="G107" s="108">
        <f>10000+4000+5000+5000</f>
        <v>24000</v>
      </c>
      <c r="H107" s="80"/>
    </row>
    <row r="108" spans="1:8" ht="12.75">
      <c r="A108" s="16"/>
      <c r="B108" s="37"/>
      <c r="C108" s="37"/>
      <c r="D108" s="49">
        <v>3120400</v>
      </c>
      <c r="E108" s="58" t="s">
        <v>228</v>
      </c>
      <c r="F108" s="108">
        <f>1000000+130000</f>
        <v>1130000</v>
      </c>
      <c r="G108" s="108">
        <f>1000000+130000</f>
        <v>1130000</v>
      </c>
      <c r="H108" s="80"/>
    </row>
    <row r="109" spans="1:8" ht="12.75">
      <c r="A109" s="16"/>
      <c r="B109" s="37"/>
      <c r="C109" s="37"/>
      <c r="D109" s="49">
        <v>3120406</v>
      </c>
      <c r="E109" s="58" t="s">
        <v>229</v>
      </c>
      <c r="F109" s="108">
        <f>10000</f>
        <v>10000</v>
      </c>
      <c r="G109" s="108">
        <f>10000</f>
        <v>10000</v>
      </c>
      <c r="H109" s="80"/>
    </row>
    <row r="110" spans="1:8" ht="12.75">
      <c r="A110" s="16"/>
      <c r="B110" s="37"/>
      <c r="C110" s="37"/>
      <c r="D110" s="49">
        <v>3120415</v>
      </c>
      <c r="E110" s="58" t="s">
        <v>230</v>
      </c>
      <c r="F110" s="108">
        <f>10000+4000</f>
        <v>14000</v>
      </c>
      <c r="G110" s="108">
        <f>10000+4000</f>
        <v>14000</v>
      </c>
      <c r="H110" s="80"/>
    </row>
    <row r="111" spans="1:8" ht="12.75">
      <c r="A111" s="16"/>
      <c r="B111" s="37"/>
      <c r="C111" s="37"/>
      <c r="D111" s="49">
        <v>3121000</v>
      </c>
      <c r="E111" s="58" t="s">
        <v>88</v>
      </c>
      <c r="F111" s="108">
        <f>30000</f>
        <v>30000</v>
      </c>
      <c r="G111" s="108">
        <f>30000</f>
        <v>30000</v>
      </c>
      <c r="H111" s="80"/>
    </row>
    <row r="112" spans="1:8" ht="12.75">
      <c r="A112" s="16"/>
      <c r="B112" s="37"/>
      <c r="C112" s="37"/>
      <c r="D112" s="49">
        <v>3121003</v>
      </c>
      <c r="E112" s="58" t="s">
        <v>89</v>
      </c>
      <c r="F112" s="108">
        <v>5000</v>
      </c>
      <c r="G112" s="108">
        <v>5000</v>
      </c>
      <c r="H112" s="80"/>
    </row>
    <row r="113" spans="1:8" ht="12.75">
      <c r="A113" s="16"/>
      <c r="B113" s="37"/>
      <c r="C113" s="37"/>
      <c r="D113" s="49">
        <v>3121021</v>
      </c>
      <c r="E113" s="58" t="s">
        <v>90</v>
      </c>
      <c r="F113" s="108">
        <f>5000+50000</f>
        <v>55000</v>
      </c>
      <c r="G113" s="108">
        <f>5000+50000</f>
        <v>55000</v>
      </c>
      <c r="H113" s="80"/>
    </row>
    <row r="114" spans="1:8" ht="12.75">
      <c r="A114" s="16"/>
      <c r="B114" s="37"/>
      <c r="C114" s="37"/>
      <c r="D114" s="49">
        <v>3121024</v>
      </c>
      <c r="E114" s="58" t="s">
        <v>91</v>
      </c>
      <c r="F114" s="105">
        <v>15000</v>
      </c>
      <c r="G114" s="105">
        <v>15000</v>
      </c>
      <c r="H114" s="80"/>
    </row>
    <row r="115" spans="1:8" ht="12.75">
      <c r="A115" s="23"/>
      <c r="B115" s="37"/>
      <c r="C115" s="37"/>
      <c r="D115" s="49"/>
      <c r="E115" s="62" t="s">
        <v>75</v>
      </c>
      <c r="F115" s="76">
        <f>SUM(F101:F114)</f>
        <v>1670000</v>
      </c>
      <c r="G115" s="76">
        <f>SUM(G101:G114)</f>
        <v>1700000</v>
      </c>
      <c r="H115" s="81"/>
    </row>
    <row r="116" spans="1:8" ht="10.5" customHeight="1">
      <c r="A116" s="23"/>
      <c r="B116" s="37"/>
      <c r="C116" s="37"/>
      <c r="D116" s="49"/>
      <c r="E116" s="58"/>
      <c r="F116" s="108"/>
      <c r="G116" s="107"/>
      <c r="H116" s="80"/>
    </row>
    <row r="117" spans="1:8" ht="12.75">
      <c r="A117" s="16"/>
      <c r="B117" s="37"/>
      <c r="C117" s="37"/>
      <c r="D117" s="49"/>
      <c r="E117" s="61" t="s">
        <v>6</v>
      </c>
      <c r="F117" s="108"/>
      <c r="G117" s="107"/>
      <c r="H117" s="80"/>
    </row>
    <row r="118" spans="1:8" ht="12.75">
      <c r="A118" s="16"/>
      <c r="B118" s="37"/>
      <c r="C118" s="37"/>
      <c r="D118" s="49">
        <v>3120500</v>
      </c>
      <c r="E118" s="58" t="s">
        <v>213</v>
      </c>
      <c r="F118" s="108">
        <f>40000+10000</f>
        <v>50000</v>
      </c>
      <c r="G118" s="108">
        <f>20000+10000</f>
        <v>30000</v>
      </c>
      <c r="H118" s="80"/>
    </row>
    <row r="119" spans="1:8" ht="12.75">
      <c r="A119" s="16"/>
      <c r="B119" s="37"/>
      <c r="C119" s="37"/>
      <c r="D119" s="49">
        <v>3120503</v>
      </c>
      <c r="E119" s="58" t="s">
        <v>76</v>
      </c>
      <c r="F119" s="108">
        <f>10000+5000+30000+30000</f>
        <v>75000</v>
      </c>
      <c r="G119" s="108">
        <f>10000+5000+30000+30000</f>
        <v>75000</v>
      </c>
      <c r="H119" s="80"/>
    </row>
    <row r="120" spans="1:8" ht="12.75">
      <c r="A120" s="16"/>
      <c r="B120" s="37"/>
      <c r="C120" s="37"/>
      <c r="D120" s="49">
        <v>3120506</v>
      </c>
      <c r="E120" s="58" t="s">
        <v>77</v>
      </c>
      <c r="F120" s="105">
        <v>5000</v>
      </c>
      <c r="G120" s="105">
        <v>5000</v>
      </c>
      <c r="H120" s="80"/>
    </row>
    <row r="121" spans="1:8" ht="12.75">
      <c r="A121" s="16"/>
      <c r="B121" s="37"/>
      <c r="C121" s="37"/>
      <c r="D121" s="49"/>
      <c r="E121" s="62" t="s">
        <v>78</v>
      </c>
      <c r="F121" s="76">
        <f>SUM(F118:F120)</f>
        <v>130000</v>
      </c>
      <c r="G121" s="76">
        <f>SUM(G118:G120)</f>
        <v>110000</v>
      </c>
      <c r="H121" s="81"/>
    </row>
    <row r="122" spans="1:8" ht="12.75">
      <c r="A122" s="23"/>
      <c r="B122" s="40"/>
      <c r="C122" s="40"/>
      <c r="D122" s="49"/>
      <c r="E122" s="62"/>
      <c r="F122" s="76"/>
      <c r="G122" s="76"/>
      <c r="H122" s="81"/>
    </row>
    <row r="123" spans="1:8" ht="12.75">
      <c r="A123" s="23"/>
      <c r="B123" s="40"/>
      <c r="C123" s="40"/>
      <c r="D123" s="49"/>
      <c r="E123" s="62"/>
      <c r="F123" s="109"/>
      <c r="G123" s="109"/>
      <c r="H123" s="87"/>
    </row>
    <row r="124" spans="1:8" ht="12.75">
      <c r="A124" s="20" t="s">
        <v>4</v>
      </c>
      <c r="B124" s="36"/>
      <c r="C124" s="36"/>
      <c r="D124" s="49"/>
      <c r="E124" s="70" t="s">
        <v>7</v>
      </c>
      <c r="F124" s="109"/>
      <c r="G124" s="109"/>
      <c r="H124" s="87"/>
    </row>
    <row r="125" spans="1:8" ht="12.75">
      <c r="A125" s="20"/>
      <c r="B125" s="37"/>
      <c r="C125" s="37"/>
      <c r="D125" s="49">
        <v>3120609</v>
      </c>
      <c r="E125" s="69" t="s">
        <v>79</v>
      </c>
      <c r="F125" s="108">
        <v>28358</v>
      </c>
      <c r="G125" s="108">
        <v>35882</v>
      </c>
      <c r="H125" s="80"/>
    </row>
    <row r="126" spans="1:8" ht="12.75">
      <c r="A126" s="16"/>
      <c r="B126" s="37"/>
      <c r="C126" s="37"/>
      <c r="D126" s="49">
        <v>3120612</v>
      </c>
      <c r="E126" s="69" t="s">
        <v>80</v>
      </c>
      <c r="F126" s="105">
        <v>25000</v>
      </c>
      <c r="G126" s="105">
        <v>25000</v>
      </c>
      <c r="H126" s="80"/>
    </row>
    <row r="127" spans="1:8" ht="12.75">
      <c r="A127" s="16"/>
      <c r="B127" s="37"/>
      <c r="C127" s="37"/>
      <c r="D127" s="49"/>
      <c r="E127" s="62" t="s">
        <v>81</v>
      </c>
      <c r="F127" s="76">
        <f>SUM(F125:F126)</f>
        <v>53358</v>
      </c>
      <c r="G127" s="76">
        <f>SUM(G125:G126)</f>
        <v>60882</v>
      </c>
      <c r="H127" s="81"/>
    </row>
    <row r="128" spans="1:8" ht="12.75">
      <c r="A128" s="16"/>
      <c r="B128" s="37"/>
      <c r="C128" s="37"/>
      <c r="D128" s="49"/>
      <c r="E128" s="58"/>
      <c r="F128" s="107"/>
      <c r="G128" s="107"/>
      <c r="H128" s="82"/>
    </row>
    <row r="129" spans="1:8" ht="12.75">
      <c r="A129" s="16"/>
      <c r="B129" s="37"/>
      <c r="C129" s="37"/>
      <c r="D129" s="49"/>
      <c r="E129" s="61" t="s">
        <v>18</v>
      </c>
      <c r="F129" s="108"/>
      <c r="G129" s="107"/>
      <c r="H129" s="80"/>
    </row>
    <row r="130" spans="1:8" ht="12.75">
      <c r="A130" s="16"/>
      <c r="B130" s="37"/>
      <c r="C130" s="37"/>
      <c r="D130" s="49">
        <v>3120703</v>
      </c>
      <c r="E130" s="58" t="s">
        <v>82</v>
      </c>
      <c r="F130" s="108">
        <f>10000+4000+40000+30000</f>
        <v>84000</v>
      </c>
      <c r="G130" s="108">
        <f>10000+4000+40000+30000</f>
        <v>84000</v>
      </c>
      <c r="H130" s="80"/>
    </row>
    <row r="131" spans="1:8" ht="12.75">
      <c r="A131" s="16"/>
      <c r="B131" s="37"/>
      <c r="C131" s="37"/>
      <c r="D131" s="49">
        <v>3121206</v>
      </c>
      <c r="E131" s="58" t="s">
        <v>207</v>
      </c>
      <c r="F131" s="105">
        <v>8000</v>
      </c>
      <c r="G131" s="105">
        <v>8000</v>
      </c>
      <c r="H131" s="80"/>
    </row>
    <row r="132" spans="1:8" ht="12.75">
      <c r="A132" s="16"/>
      <c r="B132" s="37"/>
      <c r="C132" s="37"/>
      <c r="D132" s="49"/>
      <c r="E132" s="62" t="s">
        <v>83</v>
      </c>
      <c r="F132" s="76">
        <f>SUM(F130:F131)</f>
        <v>92000</v>
      </c>
      <c r="G132" s="76">
        <f>SUM(G130:G131)</f>
        <v>92000</v>
      </c>
      <c r="H132" s="81"/>
    </row>
    <row r="133" spans="1:8" ht="12.75">
      <c r="A133" s="16"/>
      <c r="B133" s="37"/>
      <c r="C133" s="37"/>
      <c r="D133" s="49"/>
      <c r="E133" s="58"/>
      <c r="F133" s="108"/>
      <c r="G133" s="107"/>
      <c r="H133" s="80"/>
    </row>
    <row r="134" spans="1:8" ht="12.75">
      <c r="A134" s="16"/>
      <c r="B134" s="37"/>
      <c r="C134" s="37"/>
      <c r="D134" s="49"/>
      <c r="E134" s="61" t="s">
        <v>19</v>
      </c>
      <c r="F134" s="108"/>
      <c r="G134" s="107"/>
      <c r="H134" s="80"/>
    </row>
    <row r="135" spans="1:8" ht="12.75">
      <c r="A135" s="16"/>
      <c r="B135" s="37"/>
      <c r="C135" s="37"/>
      <c r="D135" s="49">
        <v>3120800</v>
      </c>
      <c r="E135" s="58" t="s">
        <v>85</v>
      </c>
      <c r="F135" s="108">
        <v>120000</v>
      </c>
      <c r="G135" s="108">
        <v>120000</v>
      </c>
      <c r="H135" s="80"/>
    </row>
    <row r="136" spans="1:8" ht="12.75">
      <c r="A136" s="16"/>
      <c r="B136" s="40"/>
      <c r="C136" s="40"/>
      <c r="D136" s="49">
        <v>3120806</v>
      </c>
      <c r="E136" s="58" t="s">
        <v>86</v>
      </c>
      <c r="F136" s="105">
        <v>15000</v>
      </c>
      <c r="G136" s="105">
        <v>15000</v>
      </c>
      <c r="H136" s="80"/>
    </row>
    <row r="137" spans="1:8" ht="12.75">
      <c r="A137" s="16"/>
      <c r="B137" s="40"/>
      <c r="C137" s="40"/>
      <c r="D137" s="49"/>
      <c r="E137" s="62" t="s">
        <v>87</v>
      </c>
      <c r="F137" s="76">
        <f>SUM(F135:F136)</f>
        <v>135000</v>
      </c>
      <c r="G137" s="76">
        <f>SUM(G135:G136)</f>
        <v>135000</v>
      </c>
      <c r="H137" s="81"/>
    </row>
    <row r="138" spans="1:8" ht="12.75">
      <c r="A138" s="16"/>
      <c r="B138" s="40"/>
      <c r="C138" s="40"/>
      <c r="D138" s="49"/>
      <c r="E138" s="62"/>
      <c r="F138" s="76"/>
      <c r="G138" s="109"/>
      <c r="H138" s="81"/>
    </row>
    <row r="139" spans="1:8" ht="12.75">
      <c r="A139" s="20"/>
      <c r="B139" s="40"/>
      <c r="C139" s="40"/>
      <c r="D139" s="49"/>
      <c r="E139" s="61" t="s">
        <v>20</v>
      </c>
      <c r="F139" s="107"/>
      <c r="G139" s="107"/>
      <c r="H139" s="82"/>
    </row>
    <row r="140" spans="1:8" ht="12.75">
      <c r="A140" s="16"/>
      <c r="B140" s="37"/>
      <c r="C140" s="37"/>
      <c r="D140" s="49">
        <v>3121100</v>
      </c>
      <c r="E140" s="58" t="s">
        <v>92</v>
      </c>
      <c r="F140" s="108">
        <v>60000</v>
      </c>
      <c r="G140" s="108">
        <v>60000</v>
      </c>
      <c r="H140" s="80"/>
    </row>
    <row r="141" spans="1:8" ht="12.75">
      <c r="A141" s="16"/>
      <c r="B141" s="37"/>
      <c r="C141" s="37"/>
      <c r="D141" s="49">
        <v>3121103</v>
      </c>
      <c r="E141" s="58" t="s">
        <v>93</v>
      </c>
      <c r="F141" s="108">
        <v>120000</v>
      </c>
      <c r="G141" s="108">
        <v>120000</v>
      </c>
      <c r="H141" s="80"/>
    </row>
    <row r="142" spans="1:8" ht="12.75">
      <c r="A142" s="16"/>
      <c r="B142" s="37"/>
      <c r="C142" s="37"/>
      <c r="D142" s="49">
        <v>3121106</v>
      </c>
      <c r="E142" s="58" t="s">
        <v>94</v>
      </c>
      <c r="F142" s="105">
        <f>20000+40000</f>
        <v>60000</v>
      </c>
      <c r="G142" s="105">
        <f>20000+40000</f>
        <v>60000</v>
      </c>
      <c r="H142" s="80"/>
    </row>
    <row r="143" spans="1:8" ht="12.75">
      <c r="A143" s="16"/>
      <c r="B143" s="37"/>
      <c r="C143" s="37"/>
      <c r="D143" s="49"/>
      <c r="E143" s="62" t="s">
        <v>95</v>
      </c>
      <c r="F143" s="76">
        <f>SUM(F140:F142)</f>
        <v>240000</v>
      </c>
      <c r="G143" s="76">
        <f>SUM(G140:G142)</f>
        <v>240000</v>
      </c>
      <c r="H143" s="81"/>
    </row>
    <row r="144" spans="1:8" ht="12.75">
      <c r="A144" s="16"/>
      <c r="B144" s="37"/>
      <c r="C144" s="37"/>
      <c r="D144" s="49"/>
      <c r="E144" s="58"/>
      <c r="F144" s="107"/>
      <c r="G144" s="107"/>
      <c r="H144" s="82"/>
    </row>
    <row r="145" spans="1:8" ht="12.75">
      <c r="A145" s="16"/>
      <c r="B145" s="37"/>
      <c r="C145" s="37"/>
      <c r="D145" s="49"/>
      <c r="E145" s="61" t="s">
        <v>21</v>
      </c>
      <c r="F145" s="108"/>
      <c r="G145" s="107"/>
      <c r="H145" s="80"/>
    </row>
    <row r="146" spans="1:8" ht="12.75">
      <c r="A146" s="16"/>
      <c r="B146" s="37"/>
      <c r="C146" s="37"/>
      <c r="D146" s="49">
        <v>3120706</v>
      </c>
      <c r="E146" s="58" t="s">
        <v>210</v>
      </c>
      <c r="F146" s="108">
        <v>1678</v>
      </c>
      <c r="G146" s="108">
        <f>1361+20644+316</f>
        <v>22321</v>
      </c>
      <c r="H146" s="80"/>
    </row>
    <row r="147" spans="1:8" ht="12.75">
      <c r="A147" s="16"/>
      <c r="B147" s="37"/>
      <c r="C147" s="37"/>
      <c r="D147" s="49">
        <v>3121300</v>
      </c>
      <c r="E147" s="58" t="s">
        <v>231</v>
      </c>
      <c r="F147" s="108">
        <f>50000+15000+50000</f>
        <v>115000</v>
      </c>
      <c r="G147" s="108">
        <f>50000+15000+50000</f>
        <v>115000</v>
      </c>
      <c r="H147" s="80"/>
    </row>
    <row r="148" spans="1:8" ht="12.75">
      <c r="A148" s="16"/>
      <c r="B148" s="37"/>
      <c r="C148" s="37"/>
      <c r="D148" s="49">
        <v>3121303</v>
      </c>
      <c r="E148" s="58" t="s">
        <v>96</v>
      </c>
      <c r="F148" s="108">
        <f>10000</f>
        <v>10000</v>
      </c>
      <c r="G148" s="108">
        <f>10000</f>
        <v>10000</v>
      </c>
      <c r="H148" s="80"/>
    </row>
    <row r="149" spans="1:8" ht="12.75">
      <c r="A149" s="16"/>
      <c r="B149" s="37"/>
      <c r="C149" s="37"/>
      <c r="D149" s="49">
        <v>3121306</v>
      </c>
      <c r="E149" s="58" t="s">
        <v>217</v>
      </c>
      <c r="F149" s="108">
        <v>10000</v>
      </c>
      <c r="G149" s="108">
        <v>34758</v>
      </c>
      <c r="H149" s="80"/>
    </row>
    <row r="150" spans="1:8" ht="12.75">
      <c r="A150" s="16"/>
      <c r="B150" s="37"/>
      <c r="C150" s="37"/>
      <c r="D150" s="49">
        <v>3121309</v>
      </c>
      <c r="E150" s="58" t="s">
        <v>97</v>
      </c>
      <c r="F150" s="108">
        <v>70000</v>
      </c>
      <c r="G150" s="108">
        <v>70000</v>
      </c>
      <c r="H150" s="80"/>
    </row>
    <row r="151" spans="1:8" ht="12.75">
      <c r="A151" s="16"/>
      <c r="B151" s="37"/>
      <c r="C151" s="37"/>
      <c r="D151" s="49">
        <v>3121312</v>
      </c>
      <c r="E151" s="58" t="s">
        <v>100</v>
      </c>
      <c r="F151" s="108">
        <f>5000</f>
        <v>5000</v>
      </c>
      <c r="G151" s="108">
        <f>5000</f>
        <v>5000</v>
      </c>
      <c r="H151" s="80"/>
    </row>
    <row r="152" spans="1:8" ht="12.75">
      <c r="A152" s="16"/>
      <c r="B152" s="37"/>
      <c r="C152" s="37"/>
      <c r="D152" s="49">
        <v>3121400</v>
      </c>
      <c r="E152" s="58" t="s">
        <v>232</v>
      </c>
      <c r="F152" s="108">
        <f>30000+5000+15000</f>
        <v>50000</v>
      </c>
      <c r="G152" s="108">
        <f>30000+5000+15000</f>
        <v>50000</v>
      </c>
      <c r="H152" s="80"/>
    </row>
    <row r="153" spans="1:8" ht="12.75">
      <c r="A153" s="16"/>
      <c r="B153" s="37"/>
      <c r="C153" s="37"/>
      <c r="D153" s="49">
        <v>3121403</v>
      </c>
      <c r="E153" s="58" t="s">
        <v>99</v>
      </c>
      <c r="F153" s="108">
        <f>30000</f>
        <v>30000</v>
      </c>
      <c r="G153" s="108">
        <f>30000</f>
        <v>30000</v>
      </c>
      <c r="H153" s="80"/>
    </row>
    <row r="154" spans="1:8" ht="12.75">
      <c r="A154" s="16"/>
      <c r="B154" s="37"/>
      <c r="C154" s="37"/>
      <c r="D154" s="49">
        <v>3121406</v>
      </c>
      <c r="E154" s="58" t="s">
        <v>98</v>
      </c>
      <c r="F154" s="108">
        <f>48377</f>
        <v>48377</v>
      </c>
      <c r="G154" s="108">
        <f>44136+11696+3960</f>
        <v>59792</v>
      </c>
      <c r="H154" s="80"/>
    </row>
    <row r="155" spans="1:8" ht="12.75">
      <c r="A155" s="16"/>
      <c r="B155" s="37"/>
      <c r="C155" s="37"/>
      <c r="D155" s="49">
        <v>3121412</v>
      </c>
      <c r="E155" s="58" t="s">
        <v>101</v>
      </c>
      <c r="F155" s="108">
        <f>40000</f>
        <v>40000</v>
      </c>
      <c r="G155" s="108">
        <f>40000</f>
        <v>40000</v>
      </c>
      <c r="H155" s="80"/>
    </row>
    <row r="156" spans="1:8" ht="12.75">
      <c r="A156" s="16"/>
      <c r="B156" s="37"/>
      <c r="C156" s="37"/>
      <c r="D156" s="49">
        <v>3121415</v>
      </c>
      <c r="E156" s="58" t="s">
        <v>102</v>
      </c>
      <c r="F156" s="108">
        <f>5000</f>
        <v>5000</v>
      </c>
      <c r="G156" s="108">
        <f>5000</f>
        <v>5000</v>
      </c>
      <c r="H156" s="80"/>
    </row>
    <row r="157" spans="1:8" ht="12.75">
      <c r="A157" s="16"/>
      <c r="B157" s="37"/>
      <c r="C157" s="37"/>
      <c r="D157" s="49">
        <v>3121409</v>
      </c>
      <c r="E157" s="58" t="s">
        <v>209</v>
      </c>
      <c r="F157" s="105">
        <f>45000</f>
        <v>45000</v>
      </c>
      <c r="G157" s="105">
        <v>15000</v>
      </c>
      <c r="H157" s="80"/>
    </row>
    <row r="158" spans="1:8" ht="12.75">
      <c r="A158" s="16"/>
      <c r="B158" s="37"/>
      <c r="C158" s="37"/>
      <c r="D158" s="49"/>
      <c r="E158" s="62" t="s">
        <v>103</v>
      </c>
      <c r="F158" s="76">
        <f>SUM(F146:F157)</f>
        <v>430055</v>
      </c>
      <c r="G158" s="76">
        <f>SUM(G146:G157)</f>
        <v>456871</v>
      </c>
      <c r="H158" s="81"/>
    </row>
    <row r="159" spans="1:8" ht="12.75">
      <c r="A159" s="16"/>
      <c r="B159" s="37"/>
      <c r="C159" s="37"/>
      <c r="D159" s="49"/>
      <c r="E159" s="58"/>
      <c r="F159" s="107"/>
      <c r="G159" s="107"/>
      <c r="H159" s="82"/>
    </row>
    <row r="160" spans="1:8" ht="12.75">
      <c r="A160" s="16"/>
      <c r="B160" s="37"/>
      <c r="C160" s="37"/>
      <c r="D160" s="49"/>
      <c r="E160" s="61" t="s">
        <v>22</v>
      </c>
      <c r="F160" s="108"/>
      <c r="G160" s="107"/>
      <c r="H160" s="80"/>
    </row>
    <row r="161" spans="1:8" ht="12.75">
      <c r="A161" s="16"/>
      <c r="B161" s="37"/>
      <c r="C161" s="37"/>
      <c r="D161" s="49">
        <v>3121500</v>
      </c>
      <c r="E161" s="58" t="s">
        <v>104</v>
      </c>
      <c r="F161" s="108">
        <v>10000</v>
      </c>
      <c r="G161" s="108">
        <v>10000</v>
      </c>
      <c r="H161" s="80"/>
    </row>
    <row r="162" spans="1:8" ht="12.75">
      <c r="A162" s="16"/>
      <c r="B162" s="37"/>
      <c r="C162" s="37"/>
      <c r="D162" s="49">
        <v>3121503</v>
      </c>
      <c r="E162" s="58" t="s">
        <v>105</v>
      </c>
      <c r="F162" s="105">
        <f>3000+1000</f>
        <v>4000</v>
      </c>
      <c r="G162" s="105">
        <f>3000+1000</f>
        <v>4000</v>
      </c>
      <c r="H162" s="80"/>
    </row>
    <row r="163" spans="1:8" ht="12.75">
      <c r="A163" s="16"/>
      <c r="B163" s="37"/>
      <c r="C163" s="37"/>
      <c r="D163" s="49"/>
      <c r="E163" s="62" t="s">
        <v>106</v>
      </c>
      <c r="F163" s="76">
        <f>SUM(F161:F162)</f>
        <v>14000</v>
      </c>
      <c r="G163" s="76">
        <f>SUM(G161:G162)</f>
        <v>14000</v>
      </c>
      <c r="H163" s="81"/>
    </row>
    <row r="164" spans="1:8" ht="12.75">
      <c r="A164" s="16"/>
      <c r="B164" s="37"/>
      <c r="C164" s="37"/>
      <c r="D164" s="49"/>
      <c r="E164" s="58"/>
      <c r="F164" s="108"/>
      <c r="G164" s="108"/>
      <c r="H164" s="80"/>
    </row>
    <row r="165" spans="1:8" ht="12.75">
      <c r="A165" s="16"/>
      <c r="B165" s="37"/>
      <c r="C165" s="37"/>
      <c r="D165" s="49"/>
      <c r="E165" s="61" t="s">
        <v>23</v>
      </c>
      <c r="F165" s="108"/>
      <c r="G165" s="107"/>
      <c r="H165" s="80"/>
    </row>
    <row r="166" spans="1:8" ht="12.75">
      <c r="A166" s="16"/>
      <c r="B166" s="37"/>
      <c r="C166" s="37"/>
      <c r="D166" s="49">
        <v>3121703</v>
      </c>
      <c r="E166" s="58" t="s">
        <v>108</v>
      </c>
      <c r="F166" s="108">
        <f>50000+20000</f>
        <v>70000</v>
      </c>
      <c r="G166" s="108">
        <f>50000+20000</f>
        <v>70000</v>
      </c>
      <c r="H166" s="80"/>
    </row>
    <row r="167" spans="1:8" ht="12.75">
      <c r="A167" s="16"/>
      <c r="B167" s="37"/>
      <c r="C167" s="37"/>
      <c r="D167" s="49">
        <v>3121706</v>
      </c>
      <c r="E167" s="58" t="s">
        <v>109</v>
      </c>
      <c r="F167" s="108">
        <f>25000+20000</f>
        <v>45000</v>
      </c>
      <c r="G167" s="108">
        <f>25000+20000</f>
        <v>45000</v>
      </c>
      <c r="H167" s="80"/>
    </row>
    <row r="168" spans="1:8" ht="12.75">
      <c r="A168" s="16"/>
      <c r="B168" s="37"/>
      <c r="C168" s="37"/>
      <c r="D168" s="49">
        <v>3121709</v>
      </c>
      <c r="E168" s="58" t="s">
        <v>110</v>
      </c>
      <c r="F168" s="108">
        <f>20000+10000+20000</f>
        <v>50000</v>
      </c>
      <c r="G168" s="108">
        <f>30000+10000+15000+5000</f>
        <v>60000</v>
      </c>
      <c r="H168" s="80"/>
    </row>
    <row r="169" spans="1:8" ht="12.75">
      <c r="A169" s="16"/>
      <c r="B169" s="37"/>
      <c r="C169" s="37"/>
      <c r="D169" s="49">
        <v>3121712</v>
      </c>
      <c r="E169" s="58" t="s">
        <v>112</v>
      </c>
      <c r="F169" s="105">
        <v>26000</v>
      </c>
      <c r="G169" s="105">
        <v>26000</v>
      </c>
      <c r="H169" s="80"/>
    </row>
    <row r="170" spans="1:8" ht="12.75">
      <c r="A170" s="16"/>
      <c r="B170" s="37"/>
      <c r="C170" s="37"/>
      <c r="D170" s="49"/>
      <c r="E170" s="62" t="s">
        <v>107</v>
      </c>
      <c r="F170" s="76">
        <f>SUM(F166:F169)</f>
        <v>191000</v>
      </c>
      <c r="G170" s="76">
        <f>SUM(G166:G169)</f>
        <v>201000</v>
      </c>
      <c r="H170" s="81"/>
    </row>
    <row r="171" spans="1:8" ht="12.75">
      <c r="A171" s="16"/>
      <c r="B171" s="37"/>
      <c r="C171" s="37"/>
      <c r="D171" s="49"/>
      <c r="E171" s="58"/>
      <c r="F171" s="108"/>
      <c r="G171" s="107"/>
      <c r="H171" s="80"/>
    </row>
    <row r="172" spans="1:8" ht="12.75">
      <c r="A172" s="21" t="s">
        <v>111</v>
      </c>
      <c r="B172" s="39">
        <f>F170+F163+F158+F143+F137+F132+F127+F121+F115</f>
        <v>2955413</v>
      </c>
      <c r="C172" s="39">
        <f>G170+G163+G158+G143+G137+G132+G127+G121+G115</f>
        <v>3009753</v>
      </c>
      <c r="D172" s="49"/>
      <c r="E172" s="58"/>
      <c r="F172" s="94"/>
      <c r="G172" s="94"/>
      <c r="H172" s="82"/>
    </row>
    <row r="173" spans="1:8" ht="12.75">
      <c r="A173" s="16"/>
      <c r="B173" s="37"/>
      <c r="C173" s="37"/>
      <c r="D173" s="49"/>
      <c r="E173" s="58"/>
      <c r="F173" s="94"/>
      <c r="G173" s="94"/>
      <c r="H173" s="82"/>
    </row>
    <row r="174" spans="1:8" ht="12.75">
      <c r="A174" s="20" t="s">
        <v>24</v>
      </c>
      <c r="B174" s="37"/>
      <c r="C174" s="37"/>
      <c r="D174" s="51"/>
      <c r="E174" s="58"/>
      <c r="F174" s="94"/>
      <c r="G174" s="94"/>
      <c r="H174" s="82"/>
    </row>
    <row r="175" spans="1:8" ht="12.75">
      <c r="A175" s="16"/>
      <c r="B175" s="37"/>
      <c r="C175" s="37"/>
      <c r="D175" s="49"/>
      <c r="E175" s="61" t="s">
        <v>25</v>
      </c>
      <c r="F175" s="94"/>
      <c r="G175" s="94"/>
      <c r="H175" s="82"/>
    </row>
    <row r="176" spans="1:8" ht="12.75">
      <c r="A176" s="16"/>
      <c r="B176" s="37"/>
      <c r="C176" s="37"/>
      <c r="D176" s="49">
        <v>3130203</v>
      </c>
      <c r="E176" s="58" t="s">
        <v>113</v>
      </c>
      <c r="F176" s="40">
        <v>52500</v>
      </c>
      <c r="G176" s="40">
        <v>54500</v>
      </c>
      <c r="H176" s="80"/>
    </row>
    <row r="177" spans="1:8" ht="12.75">
      <c r="A177" s="16"/>
      <c r="B177" s="37"/>
      <c r="C177" s="37"/>
      <c r="D177" s="49">
        <v>3130206</v>
      </c>
      <c r="E177" s="58" t="s">
        <v>216</v>
      </c>
      <c r="F177" s="40">
        <v>35207</v>
      </c>
      <c r="G177" s="40">
        <v>36917</v>
      </c>
      <c r="H177" s="80"/>
    </row>
    <row r="178" spans="1:8" ht="12.75">
      <c r="A178" s="16"/>
      <c r="B178" s="37"/>
      <c r="C178" s="37"/>
      <c r="D178" s="49">
        <v>3130400</v>
      </c>
      <c r="E178" s="58" t="s">
        <v>114</v>
      </c>
      <c r="F178" s="40">
        <v>33000</v>
      </c>
      <c r="G178" s="40">
        <v>45000</v>
      </c>
      <c r="H178" s="80"/>
    </row>
    <row r="179" spans="1:8" ht="12.75">
      <c r="A179" s="16"/>
      <c r="B179" s="37"/>
      <c r="C179" s="37"/>
      <c r="D179" s="49">
        <v>3130403</v>
      </c>
      <c r="E179" s="58" t="s">
        <v>115</v>
      </c>
      <c r="F179" s="40">
        <v>12000</v>
      </c>
      <c r="G179" s="40">
        <v>5000</v>
      </c>
      <c r="H179" s="80"/>
    </row>
    <row r="180" spans="1:8" ht="12.75">
      <c r="A180" s="16"/>
      <c r="B180" s="37"/>
      <c r="C180" s="37"/>
      <c r="D180" s="49">
        <v>3130409</v>
      </c>
      <c r="E180" s="58" t="s">
        <v>116</v>
      </c>
      <c r="F180" s="40">
        <v>43000</v>
      </c>
      <c r="G180" s="40">
        <v>45000</v>
      </c>
      <c r="H180" s="80"/>
    </row>
    <row r="181" spans="1:8" ht="12.75">
      <c r="A181" s="16"/>
      <c r="B181" s="37"/>
      <c r="C181" s="37"/>
      <c r="D181" s="49">
        <v>3130415</v>
      </c>
      <c r="E181" s="58" t="s">
        <v>220</v>
      </c>
      <c r="F181" s="40">
        <v>5000</v>
      </c>
      <c r="G181" s="40">
        <v>5000</v>
      </c>
      <c r="H181" s="80"/>
    </row>
    <row r="182" spans="1:8" ht="12.75">
      <c r="A182" s="16"/>
      <c r="B182" s="37"/>
      <c r="C182" s="37"/>
      <c r="D182" s="49">
        <v>3130418</v>
      </c>
      <c r="E182" s="58" t="s">
        <v>117</v>
      </c>
      <c r="F182" s="40">
        <v>55000</v>
      </c>
      <c r="G182" s="40">
        <v>60000</v>
      </c>
      <c r="H182" s="80"/>
    </row>
    <row r="183" spans="1:8" ht="12.75">
      <c r="A183" s="16"/>
      <c r="B183" s="37"/>
      <c r="C183" s="37"/>
      <c r="D183" s="49">
        <v>3130424</v>
      </c>
      <c r="E183" s="58" t="s">
        <v>118</v>
      </c>
      <c r="F183" s="40">
        <v>35000</v>
      </c>
      <c r="G183" s="40">
        <v>20000</v>
      </c>
      <c r="H183" s="80"/>
    </row>
    <row r="184" spans="1:8" ht="12.75">
      <c r="A184" s="16"/>
      <c r="B184" s="37"/>
      <c r="C184" s="37"/>
      <c r="D184" s="49">
        <v>3130427</v>
      </c>
      <c r="E184" s="58" t="s">
        <v>122</v>
      </c>
      <c r="F184" s="40">
        <v>14000</v>
      </c>
      <c r="G184" s="40">
        <v>21000</v>
      </c>
      <c r="H184" s="80"/>
    </row>
    <row r="185" spans="1:8" ht="12.75">
      <c r="A185" s="16"/>
      <c r="B185" s="37"/>
      <c r="C185" s="37"/>
      <c r="D185" s="49">
        <v>3130430</v>
      </c>
      <c r="E185" s="58" t="s">
        <v>123</v>
      </c>
      <c r="F185" s="40">
        <v>3000</v>
      </c>
      <c r="G185" s="40">
        <v>5000</v>
      </c>
      <c r="H185" s="80"/>
    </row>
    <row r="186" spans="1:8" ht="12.75">
      <c r="A186" s="16"/>
      <c r="B186" s="37"/>
      <c r="C186" s="37"/>
      <c r="D186" s="49">
        <v>3130432</v>
      </c>
      <c r="E186" s="58" t="s">
        <v>125</v>
      </c>
      <c r="F186" s="40">
        <v>5000</v>
      </c>
      <c r="G186" s="40">
        <v>6000</v>
      </c>
      <c r="H186" s="80"/>
    </row>
    <row r="187" spans="1:8" ht="12.75">
      <c r="A187" s="16"/>
      <c r="B187" s="37"/>
      <c r="C187" s="37"/>
      <c r="D187" s="49">
        <v>3130433</v>
      </c>
      <c r="E187" s="58" t="s">
        <v>119</v>
      </c>
      <c r="F187" s="40">
        <v>11000</v>
      </c>
      <c r="G187" s="40">
        <v>10000</v>
      </c>
      <c r="H187" s="80"/>
    </row>
    <row r="188" spans="1:8" ht="12.75">
      <c r="A188" s="16"/>
      <c r="B188" s="37"/>
      <c r="C188" s="37"/>
      <c r="D188" s="49">
        <v>3130436</v>
      </c>
      <c r="E188" s="58" t="s">
        <v>120</v>
      </c>
      <c r="F188" s="40">
        <v>1000</v>
      </c>
      <c r="G188" s="40">
        <v>1000</v>
      </c>
      <c r="H188" s="80"/>
    </row>
    <row r="189" spans="1:8" ht="12.75">
      <c r="A189" s="16"/>
      <c r="B189" s="37"/>
      <c r="C189" s="37"/>
      <c r="D189" s="49">
        <v>3130439</v>
      </c>
      <c r="E189" s="58" t="s">
        <v>124</v>
      </c>
      <c r="F189" s="40">
        <v>20000</v>
      </c>
      <c r="G189" s="40">
        <v>13000</v>
      </c>
      <c r="H189" s="80"/>
    </row>
    <row r="190" spans="1:8" ht="12.75">
      <c r="A190" s="16"/>
      <c r="B190" s="37"/>
      <c r="C190" s="37"/>
      <c r="D190" s="49">
        <v>3130442</v>
      </c>
      <c r="E190" s="58" t="s">
        <v>126</v>
      </c>
      <c r="F190" s="103">
        <v>5000</v>
      </c>
      <c r="G190" s="103">
        <v>5000</v>
      </c>
      <c r="H190" s="80"/>
    </row>
    <row r="191" spans="1:8" ht="12.75">
      <c r="A191" s="16"/>
      <c r="B191" s="40"/>
      <c r="C191" s="40"/>
      <c r="D191" s="49"/>
      <c r="E191" s="62" t="s">
        <v>121</v>
      </c>
      <c r="F191" s="75">
        <f>SUM(F176:F190)</f>
        <v>329707</v>
      </c>
      <c r="G191" s="75">
        <f>SUM(G176:G190)</f>
        <v>332417</v>
      </c>
      <c r="H191" s="81"/>
    </row>
    <row r="192" spans="1:8" ht="12.75">
      <c r="A192" s="23"/>
      <c r="B192" s="40"/>
      <c r="C192" s="40"/>
      <c r="D192" s="49"/>
      <c r="E192" s="58"/>
      <c r="F192" s="40"/>
      <c r="G192" s="94"/>
      <c r="H192" s="80"/>
    </row>
    <row r="193" spans="1:8" ht="12.75">
      <c r="A193" s="23"/>
      <c r="B193" s="40"/>
      <c r="C193" s="40"/>
      <c r="D193" s="49"/>
      <c r="E193" s="58"/>
      <c r="F193" s="40"/>
      <c r="G193" s="94"/>
      <c r="H193" s="80"/>
    </row>
    <row r="194" spans="1:8" ht="12.75">
      <c r="A194" s="20" t="s">
        <v>24</v>
      </c>
      <c r="B194" s="40"/>
      <c r="C194" s="40"/>
      <c r="D194" s="49"/>
      <c r="E194" s="61" t="s">
        <v>26</v>
      </c>
      <c r="F194" s="40"/>
      <c r="G194" s="94"/>
      <c r="H194" s="80"/>
    </row>
    <row r="195" spans="1:8" ht="12.75">
      <c r="A195" s="16"/>
      <c r="B195" s="40"/>
      <c r="C195" s="40"/>
      <c r="D195" s="49">
        <v>3130500</v>
      </c>
      <c r="E195" s="58" t="s">
        <v>127</v>
      </c>
      <c r="F195" s="40">
        <v>54000</v>
      </c>
      <c r="G195" s="40">
        <v>54000</v>
      </c>
      <c r="H195" s="80"/>
    </row>
    <row r="196" spans="1:8" ht="12.75">
      <c r="A196" s="16"/>
      <c r="B196" s="37"/>
      <c r="C196" s="37"/>
      <c r="D196" s="49">
        <v>3130503</v>
      </c>
      <c r="E196" s="58" t="s">
        <v>128</v>
      </c>
      <c r="F196" s="40">
        <v>4000</v>
      </c>
      <c r="G196" s="40">
        <v>4000</v>
      </c>
      <c r="H196" s="80"/>
    </row>
    <row r="197" spans="1:8" ht="12.75">
      <c r="A197" s="16"/>
      <c r="B197" s="37"/>
      <c r="C197" s="37"/>
      <c r="D197" s="49">
        <v>3130506</v>
      </c>
      <c r="E197" s="58" t="s">
        <v>129</v>
      </c>
      <c r="F197" s="40">
        <v>27500</v>
      </c>
      <c r="G197" s="40">
        <v>27000</v>
      </c>
      <c r="H197" s="80"/>
    </row>
    <row r="198" spans="1:8" ht="12.75">
      <c r="A198" s="16"/>
      <c r="B198" s="37"/>
      <c r="C198" s="37"/>
      <c r="D198" s="49">
        <v>3130509</v>
      </c>
      <c r="E198" s="58" t="s">
        <v>130</v>
      </c>
      <c r="F198" s="40">
        <v>1000</v>
      </c>
      <c r="G198" s="40">
        <v>1000</v>
      </c>
      <c r="H198" s="80"/>
    </row>
    <row r="199" spans="1:8" ht="12.75">
      <c r="A199" s="16"/>
      <c r="B199" s="37"/>
      <c r="C199" s="37"/>
      <c r="D199" s="49">
        <v>3130512</v>
      </c>
      <c r="E199" s="58" t="s">
        <v>131</v>
      </c>
      <c r="F199" s="40">
        <v>2000</v>
      </c>
      <c r="G199" s="40">
        <v>2000</v>
      </c>
      <c r="H199" s="80"/>
    </row>
    <row r="200" spans="1:8" ht="12.75">
      <c r="A200" s="16"/>
      <c r="B200" s="37"/>
      <c r="C200" s="37"/>
      <c r="D200" s="49">
        <v>3130515</v>
      </c>
      <c r="E200" s="58" t="s">
        <v>132</v>
      </c>
      <c r="F200" s="40">
        <v>4000</v>
      </c>
      <c r="G200" s="40">
        <v>3000</v>
      </c>
      <c r="H200" s="80"/>
    </row>
    <row r="201" spans="1:8" ht="12.75">
      <c r="A201" s="16"/>
      <c r="B201" s="37"/>
      <c r="C201" s="37"/>
      <c r="D201" s="49">
        <v>3130518</v>
      </c>
      <c r="E201" s="58" t="s">
        <v>133</v>
      </c>
      <c r="F201" s="40">
        <v>2000</v>
      </c>
      <c r="G201" s="40">
        <v>2000</v>
      </c>
      <c r="H201" s="80"/>
    </row>
    <row r="202" spans="1:8" ht="12.75">
      <c r="A202" s="16"/>
      <c r="B202" s="37"/>
      <c r="C202" s="37"/>
      <c r="D202" s="49">
        <v>3130524</v>
      </c>
      <c r="E202" s="58" t="s">
        <v>134</v>
      </c>
      <c r="F202" s="40">
        <v>24000</v>
      </c>
      <c r="G202" s="40">
        <v>24000</v>
      </c>
      <c r="H202" s="80"/>
    </row>
    <row r="203" spans="1:8" ht="12.75">
      <c r="A203" s="16"/>
      <c r="B203" s="37"/>
      <c r="C203" s="37"/>
      <c r="D203" s="49">
        <v>3130527</v>
      </c>
      <c r="E203" s="58" t="s">
        <v>135</v>
      </c>
      <c r="F203" s="103">
        <v>5000</v>
      </c>
      <c r="G203" s="103">
        <v>4000</v>
      </c>
      <c r="H203" s="80"/>
    </row>
    <row r="204" spans="1:8" ht="12.75">
      <c r="A204" s="16"/>
      <c r="B204" s="37"/>
      <c r="C204" s="37"/>
      <c r="D204" s="49"/>
      <c r="E204" s="62" t="s">
        <v>136</v>
      </c>
      <c r="F204" s="75">
        <f>SUM(F195:F203)</f>
        <v>123500</v>
      </c>
      <c r="G204" s="75">
        <f>SUM(G195:G203)</f>
        <v>121000</v>
      </c>
      <c r="H204" s="81"/>
    </row>
    <row r="205" spans="1:8" ht="12.75">
      <c r="A205" s="16"/>
      <c r="B205" s="37"/>
      <c r="C205" s="37"/>
      <c r="D205" s="49"/>
      <c r="E205" s="58"/>
      <c r="F205" s="94"/>
      <c r="G205" s="94"/>
      <c r="H205" s="82"/>
    </row>
    <row r="206" spans="1:8" ht="12.75">
      <c r="A206" s="16"/>
      <c r="B206" s="37"/>
      <c r="C206" s="37"/>
      <c r="D206" s="49"/>
      <c r="E206" s="61" t="s">
        <v>27</v>
      </c>
      <c r="F206" s="94"/>
      <c r="G206" s="94"/>
      <c r="H206" s="82"/>
    </row>
    <row r="207" spans="1:8" ht="12.75">
      <c r="A207" s="16"/>
      <c r="B207" s="37"/>
      <c r="C207" s="37"/>
      <c r="D207" s="49">
        <v>3130600</v>
      </c>
      <c r="E207" s="58" t="s">
        <v>137</v>
      </c>
      <c r="F207" s="103">
        <v>45000</v>
      </c>
      <c r="G207" s="103">
        <v>45000</v>
      </c>
      <c r="H207" s="80"/>
    </row>
    <row r="208" spans="1:8" ht="12.75">
      <c r="A208" s="16"/>
      <c r="B208" s="37"/>
      <c r="C208" s="37"/>
      <c r="D208" s="49"/>
      <c r="E208" s="62" t="s">
        <v>138</v>
      </c>
      <c r="F208" s="75">
        <f>SUM(F207)</f>
        <v>45000</v>
      </c>
      <c r="G208" s="75">
        <f>SUM(G207)</f>
        <v>45000</v>
      </c>
      <c r="H208" s="81"/>
    </row>
    <row r="209" spans="1:8" ht="12.75">
      <c r="A209" s="16"/>
      <c r="B209" s="37"/>
      <c r="C209" s="37"/>
      <c r="D209" s="49"/>
      <c r="E209" s="58"/>
      <c r="F209" s="94"/>
      <c r="G209" s="40"/>
      <c r="H209" s="82"/>
    </row>
    <row r="210" spans="1:8" ht="12.75">
      <c r="A210" s="16"/>
      <c r="B210" s="37"/>
      <c r="C210" s="37"/>
      <c r="D210" s="49"/>
      <c r="E210" s="61" t="s">
        <v>28</v>
      </c>
      <c r="F210" s="94"/>
      <c r="G210" s="94"/>
      <c r="H210" s="82"/>
    </row>
    <row r="211" spans="1:8" ht="12.75">
      <c r="A211" s="16"/>
      <c r="B211" s="37"/>
      <c r="C211" s="37"/>
      <c r="D211" s="49">
        <v>3130700</v>
      </c>
      <c r="E211" s="58" t="s">
        <v>139</v>
      </c>
      <c r="F211" s="40">
        <f>40000+5000+30000</f>
        <v>75000</v>
      </c>
      <c r="G211" s="40">
        <f>50000+5000+30000</f>
        <v>85000</v>
      </c>
      <c r="H211" s="80"/>
    </row>
    <row r="212" spans="1:8" ht="12.75">
      <c r="A212" s="16"/>
      <c r="B212" s="37"/>
      <c r="C212" s="37"/>
      <c r="D212" s="49">
        <v>3130706</v>
      </c>
      <c r="E212" s="58" t="s">
        <v>140</v>
      </c>
      <c r="F212" s="40">
        <v>30000</v>
      </c>
      <c r="G212" s="40">
        <v>30000</v>
      </c>
      <c r="H212" s="80"/>
    </row>
    <row r="213" spans="1:8" ht="12.75">
      <c r="A213" s="16"/>
      <c r="B213" s="37"/>
      <c r="C213" s="37"/>
      <c r="D213" s="49">
        <v>3130709</v>
      </c>
      <c r="E213" s="58" t="s">
        <v>141</v>
      </c>
      <c r="F213" s="103">
        <v>5000</v>
      </c>
      <c r="G213" s="103">
        <v>5000</v>
      </c>
      <c r="H213" s="80"/>
    </row>
    <row r="214" spans="1:8" ht="12.75">
      <c r="A214" s="16"/>
      <c r="B214" s="37"/>
      <c r="C214" s="37"/>
      <c r="D214" s="49"/>
      <c r="E214" s="62" t="s">
        <v>142</v>
      </c>
      <c r="F214" s="75">
        <f>SUM(F211:F213)</f>
        <v>110000</v>
      </c>
      <c r="G214" s="75">
        <f>SUM(G211:G213)</f>
        <v>120000</v>
      </c>
      <c r="H214" s="81"/>
    </row>
    <row r="215" spans="1:8" ht="12.75">
      <c r="A215" s="16"/>
      <c r="B215" s="37"/>
      <c r="C215" s="37"/>
      <c r="D215" s="49"/>
      <c r="E215" s="58"/>
      <c r="F215" s="94"/>
      <c r="G215" s="94"/>
      <c r="H215" s="82"/>
    </row>
    <row r="216" spans="1:8" ht="12.75">
      <c r="A216" s="16"/>
      <c r="B216" s="37"/>
      <c r="C216" s="37"/>
      <c r="D216" s="49"/>
      <c r="E216" s="61" t="s">
        <v>29</v>
      </c>
      <c r="F216" s="40"/>
      <c r="G216" s="94"/>
      <c r="H216" s="80"/>
    </row>
    <row r="217" spans="1:8" ht="12.75">
      <c r="A217" s="16"/>
      <c r="B217" s="37"/>
      <c r="C217" s="37"/>
      <c r="D217" s="49">
        <v>3130800</v>
      </c>
      <c r="E217" s="58" t="s">
        <v>143</v>
      </c>
      <c r="F217" s="103">
        <f>56000+18500+41000+10000+3000+22000+33000</f>
        <v>183500</v>
      </c>
      <c r="G217" s="103">
        <f>56000+18500+52900+10000+600+3000+33000+22000</f>
        <v>196000</v>
      </c>
      <c r="H217" s="80"/>
    </row>
    <row r="218" spans="1:8" ht="12.75">
      <c r="A218" s="16"/>
      <c r="B218" s="37"/>
      <c r="C218" s="37"/>
      <c r="D218" s="49"/>
      <c r="E218" s="62" t="s">
        <v>144</v>
      </c>
      <c r="F218" s="75">
        <f>SUM(F217)</f>
        <v>183500</v>
      </c>
      <c r="G218" s="75">
        <f>SUM(G217)</f>
        <v>196000</v>
      </c>
      <c r="H218" s="81"/>
    </row>
    <row r="219" spans="1:8" ht="12.75">
      <c r="A219" s="16"/>
      <c r="B219" s="37"/>
      <c r="C219" s="37"/>
      <c r="D219" s="49"/>
      <c r="E219" s="58"/>
      <c r="F219" s="94"/>
      <c r="G219" s="94"/>
      <c r="H219" s="82"/>
    </row>
    <row r="220" spans="1:8" ht="12.75">
      <c r="A220" s="16"/>
      <c r="B220" s="37"/>
      <c r="C220" s="37"/>
      <c r="D220" s="49"/>
      <c r="E220" s="61" t="s">
        <v>30</v>
      </c>
      <c r="F220" s="40"/>
      <c r="G220" s="94"/>
      <c r="H220" s="80"/>
    </row>
    <row r="221" spans="1:8" ht="12.75">
      <c r="A221" s="16"/>
      <c r="B221" s="37"/>
      <c r="C221" s="37"/>
      <c r="D221" s="49">
        <v>3131000</v>
      </c>
      <c r="E221" s="58" t="s">
        <v>145</v>
      </c>
      <c r="F221" s="40">
        <f>4000</f>
        <v>4000</v>
      </c>
      <c r="G221" s="40">
        <f>4000</f>
        <v>4000</v>
      </c>
      <c r="H221" s="80"/>
    </row>
    <row r="222" spans="1:8" ht="12.75">
      <c r="A222" s="16"/>
      <c r="B222" s="37"/>
      <c r="C222" s="37"/>
      <c r="D222" s="49">
        <v>3131003</v>
      </c>
      <c r="E222" s="58" t="s">
        <v>146</v>
      </c>
      <c r="F222" s="40">
        <f>3000+23040+27900+3195+2760+9100+8000+6000+14000</f>
        <v>96995</v>
      </c>
      <c r="G222" s="40">
        <f>22890+27900+3495+2760+7600+8300+9331+5000+18000</f>
        <v>105276</v>
      </c>
      <c r="H222" s="80"/>
    </row>
    <row r="223" spans="1:8" ht="12.75">
      <c r="A223" s="16"/>
      <c r="B223" s="37"/>
      <c r="C223" s="37"/>
      <c r="D223" s="49">
        <v>3131006</v>
      </c>
      <c r="E223" s="58" t="s">
        <v>147</v>
      </c>
      <c r="F223" s="40">
        <f>3000</f>
        <v>3000</v>
      </c>
      <c r="G223" s="40">
        <f>3000</f>
        <v>3000</v>
      </c>
      <c r="H223" s="80"/>
    </row>
    <row r="224" spans="1:8" ht="12.75">
      <c r="A224" s="16"/>
      <c r="B224" s="37"/>
      <c r="C224" s="37"/>
      <c r="D224" s="49">
        <v>3131024</v>
      </c>
      <c r="E224" s="58" t="s">
        <v>148</v>
      </c>
      <c r="F224" s="40">
        <v>8000</v>
      </c>
      <c r="G224" s="40">
        <v>8344</v>
      </c>
      <c r="H224" s="80"/>
    </row>
    <row r="225" spans="1:8" ht="12.75">
      <c r="A225" s="16"/>
      <c r="B225" s="37"/>
      <c r="C225" s="37"/>
      <c r="D225" s="49">
        <v>3131027</v>
      </c>
      <c r="E225" s="58" t="s">
        <v>206</v>
      </c>
      <c r="F225" s="40">
        <f>10368</f>
        <v>10368</v>
      </c>
      <c r="G225" s="40">
        <v>3422</v>
      </c>
      <c r="H225" s="80"/>
    </row>
    <row r="226" spans="1:8" ht="12.75">
      <c r="A226" s="16"/>
      <c r="B226" s="37"/>
      <c r="C226" s="37"/>
      <c r="D226" s="49">
        <v>3131030</v>
      </c>
      <c r="E226" s="58" t="s">
        <v>149</v>
      </c>
      <c r="F226" s="40"/>
      <c r="G226" s="40"/>
      <c r="H226" s="80"/>
    </row>
    <row r="227" spans="1:8" ht="12.75">
      <c r="A227" s="16"/>
      <c r="B227" s="37"/>
      <c r="C227" s="37"/>
      <c r="D227" s="49">
        <v>3131033</v>
      </c>
      <c r="E227" s="58" t="s">
        <v>150</v>
      </c>
      <c r="F227" s="40">
        <v>11528</v>
      </c>
      <c r="G227" s="40"/>
      <c r="H227" s="80"/>
    </row>
    <row r="228" spans="1:8" ht="12.75">
      <c r="A228" s="16"/>
      <c r="B228" s="37"/>
      <c r="C228" s="37"/>
      <c r="D228" s="49">
        <v>3131039</v>
      </c>
      <c r="E228" s="58" t="s">
        <v>214</v>
      </c>
      <c r="F228" s="40"/>
      <c r="G228" s="40"/>
      <c r="H228" s="80"/>
    </row>
    <row r="229" spans="1:8" ht="12.75">
      <c r="A229" s="16"/>
      <c r="B229" s="37"/>
      <c r="C229" s="37"/>
      <c r="D229" s="49">
        <v>3131080</v>
      </c>
      <c r="E229" s="58" t="s">
        <v>212</v>
      </c>
      <c r="F229" s="103">
        <f>10000+4000</f>
        <v>14000</v>
      </c>
      <c r="G229" s="103">
        <f>6000+4000</f>
        <v>10000</v>
      </c>
      <c r="H229" s="80"/>
    </row>
    <row r="230" spans="1:8" ht="12.75">
      <c r="A230" s="16"/>
      <c r="B230" s="37"/>
      <c r="C230" s="37"/>
      <c r="D230" s="49"/>
      <c r="E230" s="62" t="s">
        <v>151</v>
      </c>
      <c r="F230" s="75">
        <f>SUM(F221:F229)</f>
        <v>147891</v>
      </c>
      <c r="G230" s="75">
        <f>SUM(G221:G229)</f>
        <v>134042</v>
      </c>
      <c r="H230" s="81"/>
    </row>
    <row r="231" spans="1:8" ht="12.75">
      <c r="A231" s="16"/>
      <c r="B231" s="37"/>
      <c r="C231" s="37"/>
      <c r="D231" s="49"/>
      <c r="E231" s="58"/>
      <c r="F231" s="94"/>
      <c r="G231" s="94"/>
      <c r="H231" s="82"/>
    </row>
    <row r="232" spans="1:8" ht="12.75">
      <c r="A232" s="16"/>
      <c r="B232" s="37"/>
      <c r="C232" s="37"/>
      <c r="D232" s="49"/>
      <c r="E232" s="61" t="s">
        <v>31</v>
      </c>
      <c r="F232" s="94"/>
      <c r="G232" s="94"/>
      <c r="H232" s="82"/>
    </row>
    <row r="233" spans="1:8" ht="12.75">
      <c r="A233" s="16"/>
      <c r="B233" s="37"/>
      <c r="C233" s="37"/>
      <c r="D233" s="49">
        <v>3131100</v>
      </c>
      <c r="E233" s="58" t="s">
        <v>152</v>
      </c>
      <c r="F233" s="40">
        <v>24000</v>
      </c>
      <c r="G233" s="40">
        <v>32800</v>
      </c>
      <c r="H233" s="80"/>
    </row>
    <row r="234" spans="1:8" ht="12.75">
      <c r="A234" s="16"/>
      <c r="B234" s="37"/>
      <c r="C234" s="37"/>
      <c r="D234" s="49">
        <v>3131106</v>
      </c>
      <c r="E234" s="58" t="s">
        <v>153</v>
      </c>
      <c r="F234" s="40">
        <v>8500</v>
      </c>
      <c r="G234" s="40">
        <v>9800</v>
      </c>
      <c r="H234" s="80"/>
    </row>
    <row r="235" spans="1:8" ht="12.75">
      <c r="A235" s="16"/>
      <c r="B235" s="37"/>
      <c r="C235" s="37"/>
      <c r="D235" s="49">
        <v>3131109</v>
      </c>
      <c r="E235" s="58" t="s">
        <v>154</v>
      </c>
      <c r="F235" s="40">
        <v>37000</v>
      </c>
      <c r="G235" s="40">
        <v>38000</v>
      </c>
      <c r="H235" s="80"/>
    </row>
    <row r="236" spans="1:8" ht="12.75">
      <c r="A236" s="16"/>
      <c r="B236" s="37"/>
      <c r="C236" s="37"/>
      <c r="D236" s="49">
        <v>3131200</v>
      </c>
      <c r="E236" s="58" t="s">
        <v>155</v>
      </c>
      <c r="F236" s="103">
        <v>7000</v>
      </c>
      <c r="G236" s="103">
        <v>7000</v>
      </c>
      <c r="H236" s="80"/>
    </row>
    <row r="237" spans="1:8" ht="12.75">
      <c r="A237" s="16"/>
      <c r="B237" s="37"/>
      <c r="C237" s="37"/>
      <c r="D237" s="49"/>
      <c r="E237" s="62" t="s">
        <v>156</v>
      </c>
      <c r="F237" s="75">
        <f>SUM(F233:F236)</f>
        <v>76500</v>
      </c>
      <c r="G237" s="75">
        <f>SUM(G233:G236)</f>
        <v>87600</v>
      </c>
      <c r="H237" s="81"/>
    </row>
    <row r="238" spans="1:8" ht="12.75">
      <c r="A238" s="16"/>
      <c r="B238" s="37"/>
      <c r="C238" s="37"/>
      <c r="D238" s="49"/>
      <c r="E238" s="58"/>
      <c r="F238" s="94"/>
      <c r="G238" s="40"/>
      <c r="H238" s="82"/>
    </row>
    <row r="239" spans="1:8" ht="12.75">
      <c r="A239" s="16"/>
      <c r="B239" s="37"/>
      <c r="C239" s="37"/>
      <c r="D239" s="49"/>
      <c r="E239" s="61" t="s">
        <v>32</v>
      </c>
      <c r="F239" s="94"/>
      <c r="G239" s="94"/>
      <c r="H239" s="82"/>
    </row>
    <row r="240" spans="1:8" ht="12.75">
      <c r="A240" s="16"/>
      <c r="B240" s="37"/>
      <c r="C240" s="37"/>
      <c r="D240" s="49">
        <v>3131300</v>
      </c>
      <c r="E240" s="58" t="s">
        <v>221</v>
      </c>
      <c r="F240" s="40">
        <v>32000</v>
      </c>
      <c r="G240" s="40">
        <v>35000</v>
      </c>
      <c r="H240" s="80"/>
    </row>
    <row r="241" spans="1:8" ht="12.75">
      <c r="A241" s="16"/>
      <c r="B241" s="37"/>
      <c r="C241" s="37"/>
      <c r="D241" s="49">
        <v>3131303</v>
      </c>
      <c r="E241" s="58" t="s">
        <v>157</v>
      </c>
      <c r="F241" s="40">
        <f>300+8000+8000</f>
        <v>16300</v>
      </c>
      <c r="G241" s="40">
        <f>7000+7000+300</f>
        <v>14300</v>
      </c>
      <c r="H241" s="80"/>
    </row>
    <row r="242" spans="1:8" ht="12.75">
      <c r="A242" s="16"/>
      <c r="B242" s="37"/>
      <c r="C242" s="37"/>
      <c r="D242" s="51">
        <v>3131400</v>
      </c>
      <c r="E242" s="58" t="s">
        <v>233</v>
      </c>
      <c r="F242" s="40">
        <f>160000+110000</f>
        <v>270000</v>
      </c>
      <c r="G242" s="40">
        <f>175000+125000</f>
        <v>300000</v>
      </c>
      <c r="H242" s="80"/>
    </row>
    <row r="243" spans="1:8" ht="12.75">
      <c r="A243" s="16"/>
      <c r="B243" s="37"/>
      <c r="C243" s="37"/>
      <c r="D243" s="49">
        <v>3131403</v>
      </c>
      <c r="E243" s="58" t="s">
        <v>158</v>
      </c>
      <c r="F243" s="40">
        <v>12200</v>
      </c>
      <c r="G243" s="40">
        <v>10000</v>
      </c>
      <c r="H243" s="80"/>
    </row>
    <row r="244" spans="1:8" ht="12.75">
      <c r="A244" s="16"/>
      <c r="B244" s="37"/>
      <c r="C244" s="37"/>
      <c r="D244" s="49">
        <v>3131406</v>
      </c>
      <c r="E244" s="58" t="s">
        <v>159</v>
      </c>
      <c r="F244" s="103">
        <f>20000+10000</f>
        <v>30000</v>
      </c>
      <c r="G244" s="103">
        <f>30000+20000</f>
        <v>50000</v>
      </c>
      <c r="H244" s="80"/>
    </row>
    <row r="245" spans="1:8" ht="12.75">
      <c r="A245" s="16"/>
      <c r="B245" s="37"/>
      <c r="C245" s="37"/>
      <c r="D245" s="49"/>
      <c r="E245" s="62" t="s">
        <v>160</v>
      </c>
      <c r="F245" s="75">
        <f>SUM(F240:F244)</f>
        <v>360500</v>
      </c>
      <c r="G245" s="75">
        <f>SUM(G240:G244)</f>
        <v>409300</v>
      </c>
      <c r="H245" s="81"/>
    </row>
    <row r="246" spans="1:8" ht="12.75">
      <c r="A246" s="16"/>
      <c r="B246" s="37"/>
      <c r="C246" s="37"/>
      <c r="D246" s="49"/>
      <c r="E246" s="58"/>
      <c r="F246" s="94"/>
      <c r="G246" s="94"/>
      <c r="H246" s="82"/>
    </row>
    <row r="247" spans="1:8" ht="12.75">
      <c r="A247" s="21" t="s">
        <v>161</v>
      </c>
      <c r="B247" s="39">
        <f>F245+F237+F230+F218+F214+F208+F204+F191</f>
        <v>1376598</v>
      </c>
      <c r="C247" s="39">
        <f>G245+G237+G230+G218+G214+G208+G204+G191</f>
        <v>1445359</v>
      </c>
      <c r="D247" s="49"/>
      <c r="E247" s="58"/>
      <c r="F247" s="94"/>
      <c r="G247" s="94"/>
      <c r="H247" s="82"/>
    </row>
    <row r="248" spans="1:8" ht="12.75">
      <c r="A248" s="21"/>
      <c r="B248" s="75"/>
      <c r="C248" s="75"/>
      <c r="D248" s="49"/>
      <c r="E248" s="58"/>
      <c r="F248" s="94"/>
      <c r="G248" s="94"/>
      <c r="H248" s="82"/>
    </row>
    <row r="249" spans="1:8" ht="12.75">
      <c r="A249" s="118" t="s">
        <v>251</v>
      </c>
      <c r="B249" s="75"/>
      <c r="C249" s="75"/>
      <c r="D249" s="49"/>
      <c r="E249" s="58"/>
      <c r="F249" s="94"/>
      <c r="G249" s="94"/>
      <c r="H249" s="82"/>
    </row>
    <row r="250" spans="1:8" ht="12.75">
      <c r="A250" s="21"/>
      <c r="B250" s="75"/>
      <c r="C250" s="75"/>
      <c r="D250" s="49"/>
      <c r="E250" s="61" t="s">
        <v>249</v>
      </c>
      <c r="F250" s="94"/>
      <c r="G250" s="94"/>
      <c r="H250" s="82"/>
    </row>
    <row r="251" spans="1:8" ht="12.75">
      <c r="A251" s="21"/>
      <c r="B251" s="75"/>
      <c r="C251" s="75"/>
      <c r="D251" s="51">
        <v>3140303</v>
      </c>
      <c r="E251" s="58" t="s">
        <v>176</v>
      </c>
      <c r="F251" s="103">
        <v>10000</v>
      </c>
      <c r="G251" s="103">
        <v>10000</v>
      </c>
      <c r="H251" s="82"/>
    </row>
    <row r="252" spans="1:8" ht="12.75">
      <c r="A252" s="21"/>
      <c r="B252" s="75"/>
      <c r="C252" s="75"/>
      <c r="D252" s="49"/>
      <c r="E252" s="62" t="s">
        <v>250</v>
      </c>
      <c r="F252" s="75">
        <f>F251</f>
        <v>10000</v>
      </c>
      <c r="G252" s="75">
        <f>G251</f>
        <v>10000</v>
      </c>
      <c r="H252" s="82"/>
    </row>
    <row r="253" spans="1:8" ht="12.75">
      <c r="A253" s="21"/>
      <c r="B253" s="75"/>
      <c r="C253" s="75"/>
      <c r="D253" s="49"/>
      <c r="E253" s="58"/>
      <c r="F253" s="94"/>
      <c r="G253" s="94"/>
      <c r="H253" s="82"/>
    </row>
    <row r="254" spans="1:8" ht="12.75">
      <c r="A254" s="21" t="s">
        <v>252</v>
      </c>
      <c r="B254" s="39">
        <f>F252</f>
        <v>10000</v>
      </c>
      <c r="C254" s="39">
        <f>G252</f>
        <v>10000</v>
      </c>
      <c r="D254" s="49"/>
      <c r="E254" s="58"/>
      <c r="F254" s="94"/>
      <c r="G254" s="94"/>
      <c r="H254" s="82"/>
    </row>
    <row r="255" spans="1:8" ht="12.75">
      <c r="A255" s="16"/>
      <c r="B255" s="37"/>
      <c r="C255" s="37"/>
      <c r="D255" s="49"/>
      <c r="E255" s="58"/>
      <c r="F255" s="94"/>
      <c r="G255" s="94"/>
      <c r="H255" s="82"/>
    </row>
    <row r="256" spans="1:8" ht="12.75">
      <c r="A256" s="20" t="s">
        <v>33</v>
      </c>
      <c r="B256" s="37"/>
      <c r="C256" s="37"/>
      <c r="D256" s="51"/>
      <c r="E256" s="58"/>
      <c r="F256" s="40"/>
      <c r="G256" s="94"/>
      <c r="H256" s="80"/>
    </row>
    <row r="257" spans="1:8" ht="12.75">
      <c r="A257" s="20"/>
      <c r="B257" s="37"/>
      <c r="C257" s="37"/>
      <c r="D257" s="51"/>
      <c r="E257" s="61" t="s">
        <v>34</v>
      </c>
      <c r="F257" s="40"/>
      <c r="G257" s="94"/>
      <c r="H257" s="80"/>
    </row>
    <row r="258" spans="1:8" ht="12.75">
      <c r="A258" s="20"/>
      <c r="B258" s="37"/>
      <c r="C258" s="37"/>
      <c r="D258" s="51">
        <v>3150100</v>
      </c>
      <c r="E258" s="58" t="s">
        <v>162</v>
      </c>
      <c r="F258" s="103">
        <f>30000+20000+80000+120000</f>
        <v>250000</v>
      </c>
      <c r="G258" s="103">
        <f>30000+20000+80000+110000</f>
        <v>240000</v>
      </c>
      <c r="H258" s="80"/>
    </row>
    <row r="259" spans="1:8" ht="12.75">
      <c r="A259" s="20"/>
      <c r="B259" s="37"/>
      <c r="C259" s="37"/>
      <c r="D259" s="51"/>
      <c r="E259" s="62" t="s">
        <v>163</v>
      </c>
      <c r="F259" s="75">
        <f>SUM(F258)</f>
        <v>250000</v>
      </c>
      <c r="G259" s="75">
        <f>SUM(G258)</f>
        <v>240000</v>
      </c>
      <c r="H259" s="81"/>
    </row>
    <row r="260" spans="1:8" ht="12.75">
      <c r="A260" s="20"/>
      <c r="B260" s="37"/>
      <c r="C260" s="37"/>
      <c r="D260" s="51"/>
      <c r="E260" s="62"/>
      <c r="F260" s="75"/>
      <c r="G260" s="75"/>
      <c r="H260" s="81"/>
    </row>
    <row r="261" spans="1:8" ht="12.75">
      <c r="A261" s="21" t="s">
        <v>164</v>
      </c>
      <c r="B261" s="39">
        <f>F259</f>
        <v>250000</v>
      </c>
      <c r="C261" s="39">
        <f>G259</f>
        <v>240000</v>
      </c>
      <c r="D261" s="51"/>
      <c r="E261" s="58"/>
      <c r="F261" s="40"/>
      <c r="G261" s="94"/>
      <c r="H261" s="80"/>
    </row>
    <row r="262" spans="1:8" ht="12.75">
      <c r="A262" s="20"/>
      <c r="B262" s="37"/>
      <c r="C262" s="37"/>
      <c r="D262" s="51"/>
      <c r="E262" s="58"/>
      <c r="F262" s="40"/>
      <c r="G262" s="94"/>
      <c r="H262" s="80"/>
    </row>
    <row r="263" spans="1:8" ht="12.75">
      <c r="A263" s="20"/>
      <c r="B263" s="37"/>
      <c r="C263" s="37"/>
      <c r="D263" s="51"/>
      <c r="E263" s="58"/>
      <c r="F263" s="40"/>
      <c r="G263" s="94"/>
      <c r="H263" s="80"/>
    </row>
    <row r="264" spans="1:8" ht="15.75" thickBot="1">
      <c r="A264" s="25" t="s">
        <v>246</v>
      </c>
      <c r="B264" s="41">
        <f>B261+B247+B172+B98+B254</f>
        <v>10131721</v>
      </c>
      <c r="C264" s="41">
        <f>C261+C247+C172+C98+C254</f>
        <v>10382702</v>
      </c>
      <c r="D264" s="52"/>
      <c r="E264" s="58"/>
      <c r="F264" s="94"/>
      <c r="G264" s="94"/>
      <c r="H264" s="82"/>
    </row>
    <row r="265" spans="1:8" ht="13.5" thickTop="1">
      <c r="A265" s="20"/>
      <c r="B265" s="37"/>
      <c r="C265" s="37"/>
      <c r="D265" s="51"/>
      <c r="E265" s="58"/>
      <c r="F265" s="94"/>
      <c r="G265" s="94"/>
      <c r="H265" s="82"/>
    </row>
    <row r="266" spans="1:8" ht="12.75">
      <c r="A266" s="20"/>
      <c r="B266" s="37"/>
      <c r="C266" s="37"/>
      <c r="D266" s="51"/>
      <c r="E266" s="58"/>
      <c r="F266" s="94"/>
      <c r="G266" s="94"/>
      <c r="H266" s="82"/>
    </row>
    <row r="267" spans="1:8" ht="15">
      <c r="A267" s="17" t="s">
        <v>35</v>
      </c>
      <c r="B267" s="42"/>
      <c r="C267" s="42"/>
      <c r="D267" s="53"/>
      <c r="E267" s="58"/>
      <c r="F267" s="94"/>
      <c r="G267" s="94"/>
      <c r="H267" s="82"/>
    </row>
    <row r="268" spans="1:8" ht="12.75">
      <c r="A268" s="20"/>
      <c r="B268" s="37"/>
      <c r="C268" s="37"/>
      <c r="D268" s="51"/>
      <c r="E268" s="58"/>
      <c r="F268" s="94"/>
      <c r="G268" s="94"/>
      <c r="H268" s="82"/>
    </row>
    <row r="269" spans="1:8" ht="26.25">
      <c r="A269" s="28" t="s">
        <v>36</v>
      </c>
      <c r="B269" s="37"/>
      <c r="C269" s="37"/>
      <c r="D269" s="51"/>
      <c r="E269" s="58"/>
      <c r="F269" s="40"/>
      <c r="G269" s="94"/>
      <c r="H269" s="80"/>
    </row>
    <row r="270" spans="1:8" ht="12.75">
      <c r="A270" s="20"/>
      <c r="B270" s="37"/>
      <c r="C270" s="37"/>
      <c r="D270" s="51"/>
      <c r="E270" s="61" t="s">
        <v>37</v>
      </c>
      <c r="F270" s="40"/>
      <c r="G270" s="94"/>
      <c r="H270" s="80"/>
    </row>
    <row r="271" spans="1:8" ht="12.75">
      <c r="A271" s="20"/>
      <c r="B271" s="37"/>
      <c r="C271" s="37"/>
      <c r="D271" s="51">
        <v>3160100</v>
      </c>
      <c r="E271" s="58" t="s">
        <v>196</v>
      </c>
      <c r="F271" s="103">
        <f>800000+200000</f>
        <v>1000000</v>
      </c>
      <c r="G271" s="103">
        <f>950000+150000</f>
        <v>1100000</v>
      </c>
      <c r="H271" s="80"/>
    </row>
    <row r="272" spans="1:8" ht="12.75">
      <c r="A272" s="20"/>
      <c r="B272" s="37"/>
      <c r="C272" s="37"/>
      <c r="D272" s="51"/>
      <c r="E272" s="62" t="s">
        <v>165</v>
      </c>
      <c r="F272" s="75">
        <f>SUM(F271)</f>
        <v>1000000</v>
      </c>
      <c r="G272" s="75">
        <f>SUM(G271)</f>
        <v>1100000</v>
      </c>
      <c r="H272" s="81"/>
    </row>
    <row r="273" spans="1:8" ht="12.75">
      <c r="A273" s="20"/>
      <c r="B273" s="37"/>
      <c r="C273" s="37"/>
      <c r="D273" s="51"/>
      <c r="E273" s="58"/>
      <c r="F273" s="40"/>
      <c r="G273" s="94"/>
      <c r="H273" s="80"/>
    </row>
    <row r="274" spans="1:8" ht="12.75">
      <c r="A274" s="21" t="s">
        <v>166</v>
      </c>
      <c r="B274" s="39">
        <f>F272</f>
        <v>1000000</v>
      </c>
      <c r="C274" s="39">
        <f>G272</f>
        <v>1100000</v>
      </c>
      <c r="D274" s="51"/>
      <c r="E274" s="58"/>
      <c r="F274" s="40"/>
      <c r="G274" s="94"/>
      <c r="H274" s="80"/>
    </row>
    <row r="275" spans="1:8" ht="12.75">
      <c r="A275" s="20"/>
      <c r="B275" s="37"/>
      <c r="C275" s="37"/>
      <c r="D275" s="51"/>
      <c r="E275" s="58"/>
      <c r="F275" s="40"/>
      <c r="G275" s="94"/>
      <c r="H275" s="80"/>
    </row>
    <row r="276" spans="1:8" ht="26.25">
      <c r="A276" s="28" t="s">
        <v>39</v>
      </c>
      <c r="B276" s="37"/>
      <c r="C276" s="37"/>
      <c r="D276" s="51"/>
      <c r="E276" s="58"/>
      <c r="F276" s="40"/>
      <c r="G276" s="94"/>
      <c r="H276" s="80"/>
    </row>
    <row r="277" spans="1:8" ht="12.75">
      <c r="A277" s="20"/>
      <c r="B277" s="37"/>
      <c r="C277" s="37"/>
      <c r="D277" s="51"/>
      <c r="E277" s="61" t="s">
        <v>195</v>
      </c>
      <c r="F277" s="40"/>
      <c r="G277" s="94"/>
      <c r="H277" s="80"/>
    </row>
    <row r="278" spans="1:8" ht="12.75">
      <c r="A278" s="20"/>
      <c r="B278" s="37"/>
      <c r="C278" s="37"/>
      <c r="D278" s="51">
        <v>3170100</v>
      </c>
      <c r="E278" s="58" t="s">
        <v>197</v>
      </c>
      <c r="F278" s="105">
        <v>151200</v>
      </c>
      <c r="G278" s="105">
        <v>151200</v>
      </c>
      <c r="H278" s="90"/>
    </row>
    <row r="279" spans="1:8" ht="12.75">
      <c r="A279" s="20"/>
      <c r="B279" s="37"/>
      <c r="C279" s="37"/>
      <c r="D279" s="51"/>
      <c r="E279" s="62" t="s">
        <v>198</v>
      </c>
      <c r="F279" s="76">
        <f>SUM(F278)</f>
        <v>151200</v>
      </c>
      <c r="G279" s="76">
        <f>SUM(G278)</f>
        <v>151200</v>
      </c>
      <c r="H279" s="91"/>
    </row>
    <row r="280" spans="1:8" ht="12.75">
      <c r="A280" s="16"/>
      <c r="B280" s="37"/>
      <c r="C280" s="37"/>
      <c r="D280" s="51"/>
      <c r="E280" s="58"/>
      <c r="F280" s="40"/>
      <c r="G280" s="94"/>
      <c r="H280" s="80"/>
    </row>
    <row r="281" spans="1:8" ht="12.75">
      <c r="A281" s="16"/>
      <c r="B281" s="37"/>
      <c r="C281" s="37"/>
      <c r="D281" s="51"/>
      <c r="E281" s="62"/>
      <c r="F281" s="76"/>
      <c r="G281" s="109"/>
      <c r="H281" s="91"/>
    </row>
    <row r="282" spans="1:8" ht="12.75">
      <c r="A282" s="16"/>
      <c r="B282" s="37"/>
      <c r="C282" s="37"/>
      <c r="D282" s="54"/>
      <c r="E282" s="71"/>
      <c r="F282" s="40"/>
      <c r="G282" s="94"/>
      <c r="H282" s="80"/>
    </row>
    <row r="283" spans="1:8" ht="12.75">
      <c r="A283" s="29"/>
      <c r="B283" s="37"/>
      <c r="C283" s="37"/>
      <c r="D283" s="54"/>
      <c r="E283" s="61" t="s">
        <v>38</v>
      </c>
      <c r="F283" s="40"/>
      <c r="G283" s="94"/>
      <c r="H283" s="80"/>
    </row>
    <row r="284" spans="1:8" ht="12.75">
      <c r="A284" s="29"/>
      <c r="B284" s="37"/>
      <c r="C284" s="37"/>
      <c r="D284" s="49">
        <v>3170406</v>
      </c>
      <c r="E284" s="58" t="s">
        <v>167</v>
      </c>
      <c r="F284" s="103">
        <f>10000+10000</f>
        <v>20000</v>
      </c>
      <c r="G284" s="103">
        <f>10000+10000</f>
        <v>20000</v>
      </c>
      <c r="H284" s="80"/>
    </row>
    <row r="285" spans="1:8" ht="12.75">
      <c r="A285" s="29"/>
      <c r="B285" s="37"/>
      <c r="C285" s="37"/>
      <c r="D285" s="49"/>
      <c r="E285" s="62" t="s">
        <v>168</v>
      </c>
      <c r="F285" s="75">
        <f>SUM(F284)</f>
        <v>20000</v>
      </c>
      <c r="G285" s="75">
        <f>SUM(G284)</f>
        <v>20000</v>
      </c>
      <c r="H285" s="81"/>
    </row>
    <row r="286" spans="1:8" ht="12.75">
      <c r="A286" s="21" t="s">
        <v>169</v>
      </c>
      <c r="B286" s="39">
        <f>F279+F281+F285</f>
        <v>171200</v>
      </c>
      <c r="C286" s="39">
        <f>G279+G281+G285</f>
        <v>171200</v>
      </c>
      <c r="D286" s="49"/>
      <c r="E286" s="58"/>
      <c r="F286" s="40"/>
      <c r="G286" s="94"/>
      <c r="H286" s="80"/>
    </row>
    <row r="287" spans="1:8" ht="12.75">
      <c r="A287" s="16"/>
      <c r="B287" s="37"/>
      <c r="C287" s="37"/>
      <c r="D287" s="49"/>
      <c r="E287" s="58"/>
      <c r="F287" s="40"/>
      <c r="G287" s="94"/>
      <c r="H287" s="80"/>
    </row>
    <row r="288" spans="1:8" ht="12.75">
      <c r="A288" s="16"/>
      <c r="B288" s="37"/>
      <c r="C288" s="37"/>
      <c r="D288" s="49"/>
      <c r="E288" s="58"/>
      <c r="F288" s="40"/>
      <c r="G288" s="94"/>
      <c r="H288" s="80"/>
    </row>
    <row r="289" spans="1:8" ht="15.75" thickBot="1">
      <c r="A289" s="25" t="s">
        <v>247</v>
      </c>
      <c r="B289" s="41">
        <f>SUM(B273:B288)</f>
        <v>1171200</v>
      </c>
      <c r="C289" s="41">
        <f>SUM(C273:C288)</f>
        <v>1271200</v>
      </c>
      <c r="D289" s="52"/>
      <c r="E289" s="58"/>
      <c r="F289" s="94"/>
      <c r="G289" s="94"/>
      <c r="H289" s="82"/>
    </row>
    <row r="290" spans="1:8" ht="14.25" customHeight="1" thickTop="1">
      <c r="A290" s="16"/>
      <c r="B290" s="37"/>
      <c r="C290" s="37"/>
      <c r="D290" s="49"/>
      <c r="E290" s="58"/>
      <c r="F290" s="94"/>
      <c r="G290" s="94"/>
      <c r="H290" s="82"/>
    </row>
    <row r="291" spans="1:8" s="113" customFormat="1" ht="18.75" customHeight="1" thickBot="1">
      <c r="A291" s="117" t="s">
        <v>248</v>
      </c>
      <c r="B291" s="41">
        <f>B57+B66-B264-B289</f>
        <v>114219</v>
      </c>
      <c r="C291" s="41">
        <f>C57+C66-C264-C289</f>
        <v>128150</v>
      </c>
      <c r="D291" s="52"/>
      <c r="E291" s="61"/>
      <c r="F291" s="99"/>
      <c r="G291" s="99"/>
      <c r="H291" s="87"/>
    </row>
    <row r="292" spans="1:8" ht="14.25" customHeight="1" thickTop="1">
      <c r="A292" s="16"/>
      <c r="B292" s="37"/>
      <c r="C292" s="37"/>
      <c r="D292" s="49"/>
      <c r="E292" s="58"/>
      <c r="F292" s="94"/>
      <c r="G292" s="94"/>
      <c r="H292" s="82"/>
    </row>
    <row r="293" spans="1:8" ht="12.75">
      <c r="A293" s="16"/>
      <c r="B293" s="37"/>
      <c r="C293" s="37"/>
      <c r="D293" s="49"/>
      <c r="E293" s="58"/>
      <c r="F293" s="94"/>
      <c r="G293" s="94"/>
      <c r="H293" s="82"/>
    </row>
    <row r="294" spans="1:8" ht="17.25">
      <c r="A294" s="115" t="s">
        <v>40</v>
      </c>
      <c r="B294" s="43"/>
      <c r="C294" s="43"/>
      <c r="D294" s="55"/>
      <c r="E294" s="58"/>
      <c r="F294" s="94"/>
      <c r="G294" s="94"/>
      <c r="H294" s="82"/>
    </row>
    <row r="295" spans="1:8" ht="12.75">
      <c r="A295" s="20"/>
      <c r="B295" s="37"/>
      <c r="C295" s="37"/>
      <c r="D295" s="51"/>
      <c r="E295" s="58"/>
      <c r="F295" s="40"/>
      <c r="G295" s="94"/>
      <c r="H295" s="80"/>
    </row>
    <row r="296" spans="1:8" ht="12.75">
      <c r="A296" s="30" t="s">
        <v>41</v>
      </c>
      <c r="B296" s="37"/>
      <c r="C296" s="37"/>
      <c r="D296" s="51"/>
      <c r="E296" s="58"/>
      <c r="F296" s="40"/>
      <c r="G296" s="94"/>
      <c r="H296" s="80"/>
    </row>
    <row r="297" spans="1:8" ht="12.75">
      <c r="A297" s="20"/>
      <c r="B297" s="37"/>
      <c r="C297" s="37"/>
      <c r="D297" s="51"/>
      <c r="E297" s="61" t="s">
        <v>42</v>
      </c>
      <c r="F297" s="40"/>
      <c r="G297" s="94"/>
      <c r="H297" s="80"/>
    </row>
    <row r="298" spans="1:8" ht="12.75">
      <c r="A298" s="20"/>
      <c r="B298" s="37"/>
      <c r="C298" s="37"/>
      <c r="D298" s="51">
        <v>3440300</v>
      </c>
      <c r="E298" s="58" t="s">
        <v>181</v>
      </c>
      <c r="F298" s="103"/>
      <c r="G298" s="110"/>
      <c r="H298" s="80"/>
    </row>
    <row r="299" spans="1:8" ht="12.75">
      <c r="A299" s="20"/>
      <c r="B299" s="37"/>
      <c r="C299" s="37"/>
      <c r="D299" s="51"/>
      <c r="E299" s="62" t="s">
        <v>182</v>
      </c>
      <c r="F299" s="75">
        <f>SUM(F298)</f>
        <v>0</v>
      </c>
      <c r="G299" s="99">
        <f>SUM(G298)</f>
        <v>0</v>
      </c>
      <c r="H299" s="81"/>
    </row>
    <row r="300" spans="1:8" ht="12.75">
      <c r="A300" s="31" t="s">
        <v>174</v>
      </c>
      <c r="B300" s="39">
        <f>F299</f>
        <v>0</v>
      </c>
      <c r="C300" s="39">
        <f>G299</f>
        <v>0</v>
      </c>
      <c r="D300" s="51"/>
      <c r="E300" s="58"/>
      <c r="F300" s="94"/>
      <c r="G300" s="94"/>
      <c r="H300" s="82"/>
    </row>
    <row r="301" spans="1:8" ht="12.75">
      <c r="A301" s="20"/>
      <c r="B301" s="37"/>
      <c r="C301" s="37"/>
      <c r="D301" s="51"/>
      <c r="E301" s="58"/>
      <c r="F301" s="94"/>
      <c r="G301" s="94"/>
      <c r="H301" s="82"/>
    </row>
    <row r="302" spans="1:8" ht="12.75">
      <c r="A302" s="30" t="s">
        <v>43</v>
      </c>
      <c r="B302" s="37"/>
      <c r="C302" s="37"/>
      <c r="D302" s="51"/>
      <c r="E302" s="58"/>
      <c r="F302" s="40"/>
      <c r="G302" s="94"/>
      <c r="H302" s="80"/>
    </row>
    <row r="303" spans="1:8" ht="12.75">
      <c r="A303" s="20"/>
      <c r="B303" s="37"/>
      <c r="C303" s="37"/>
      <c r="D303" s="51"/>
      <c r="E303" s="61" t="s">
        <v>253</v>
      </c>
      <c r="F303" s="40"/>
      <c r="G303" s="94"/>
      <c r="H303" s="80"/>
    </row>
    <row r="304" spans="1:8" ht="12.75">
      <c r="A304" s="20"/>
      <c r="B304" s="37"/>
      <c r="C304" s="37"/>
      <c r="D304" s="51">
        <v>3140100</v>
      </c>
      <c r="E304" s="58" t="s">
        <v>254</v>
      </c>
      <c r="F304" s="103">
        <f>9729+2682+30808</f>
        <v>43219</v>
      </c>
      <c r="G304" s="103">
        <f>9000+1900+29100+7150</f>
        <v>47150</v>
      </c>
      <c r="H304" s="80"/>
    </row>
    <row r="305" spans="1:8" ht="12.75">
      <c r="A305" s="20"/>
      <c r="B305" s="37"/>
      <c r="C305" s="37"/>
      <c r="D305" s="51"/>
      <c r="E305" s="62" t="s">
        <v>255</v>
      </c>
      <c r="F305" s="75">
        <f>SUM(F304)</f>
        <v>43219</v>
      </c>
      <c r="G305" s="75">
        <f>SUM(G304)</f>
        <v>47150</v>
      </c>
      <c r="H305" s="81"/>
    </row>
    <row r="306" spans="1:8" ht="12.75">
      <c r="A306" s="23"/>
      <c r="B306" s="40"/>
      <c r="C306" s="40"/>
      <c r="D306" s="51"/>
      <c r="E306" s="62"/>
      <c r="F306" s="75"/>
      <c r="G306" s="99"/>
      <c r="H306" s="81"/>
    </row>
    <row r="307" spans="1:8" ht="12.75">
      <c r="A307" s="30"/>
      <c r="B307" s="37"/>
      <c r="C307" s="37"/>
      <c r="D307" s="51"/>
      <c r="E307" s="61" t="s">
        <v>44</v>
      </c>
      <c r="F307" s="40"/>
      <c r="G307" s="94"/>
      <c r="H307" s="80"/>
    </row>
    <row r="308" spans="1:8" ht="12.75">
      <c r="A308" s="20"/>
      <c r="B308" s="37"/>
      <c r="C308" s="37"/>
      <c r="D308" s="51">
        <v>3140200</v>
      </c>
      <c r="E308" s="58" t="s">
        <v>170</v>
      </c>
      <c r="F308" s="40">
        <v>3000</v>
      </c>
      <c r="G308" s="40">
        <v>3000</v>
      </c>
      <c r="H308" s="80"/>
    </row>
    <row r="309" spans="1:8" ht="12.75">
      <c r="A309" s="20"/>
      <c r="B309" s="37"/>
      <c r="C309" s="37"/>
      <c r="D309" s="51">
        <v>3140206</v>
      </c>
      <c r="E309" s="58" t="s">
        <v>171</v>
      </c>
      <c r="F309" s="40">
        <v>2500</v>
      </c>
      <c r="G309" s="40">
        <v>4500</v>
      </c>
      <c r="H309" s="80"/>
    </row>
    <row r="310" spans="1:8" ht="12.75">
      <c r="A310" s="20"/>
      <c r="B310" s="37"/>
      <c r="C310" s="37"/>
      <c r="D310" s="51">
        <v>3140209</v>
      </c>
      <c r="E310" s="58" t="s">
        <v>172</v>
      </c>
      <c r="F310" s="103">
        <v>500</v>
      </c>
      <c r="G310" s="103">
        <v>500</v>
      </c>
      <c r="H310" s="80"/>
    </row>
    <row r="311" spans="1:8" ht="12.75">
      <c r="A311" s="20"/>
      <c r="B311" s="37"/>
      <c r="C311" s="37"/>
      <c r="D311" s="51"/>
      <c r="E311" s="62" t="s">
        <v>173</v>
      </c>
      <c r="F311" s="75">
        <f>SUM(F308:F310)</f>
        <v>6000</v>
      </c>
      <c r="G311" s="75">
        <f>SUM(G308:G310)</f>
        <v>8000</v>
      </c>
      <c r="H311" s="81"/>
    </row>
    <row r="312" spans="1:8" ht="12.75">
      <c r="A312" s="31" t="s">
        <v>175</v>
      </c>
      <c r="B312" s="39">
        <f>F305+F311</f>
        <v>49219</v>
      </c>
      <c r="C312" s="39">
        <f>G305+G311</f>
        <v>55150</v>
      </c>
      <c r="D312" s="51"/>
      <c r="E312" s="58"/>
      <c r="F312" s="40"/>
      <c r="G312" s="94"/>
      <c r="H312" s="80"/>
    </row>
    <row r="313" spans="1:8" ht="12.75">
      <c r="A313" s="22"/>
      <c r="B313" s="37"/>
      <c r="C313" s="37"/>
      <c r="D313" s="51"/>
      <c r="E313" s="58"/>
      <c r="F313" s="40"/>
      <c r="G313" s="94"/>
      <c r="H313" s="80"/>
    </row>
    <row r="314" spans="1:8" ht="12.75">
      <c r="A314" s="22"/>
      <c r="B314" s="37"/>
      <c r="C314" s="37"/>
      <c r="D314" s="51"/>
      <c r="E314" s="58"/>
      <c r="F314" s="40"/>
      <c r="G314" s="94"/>
      <c r="H314" s="80"/>
    </row>
    <row r="315" spans="1:8" ht="18" thickBot="1">
      <c r="A315" s="116" t="s">
        <v>49</v>
      </c>
      <c r="B315" s="41">
        <f>B312-B300</f>
        <v>49219</v>
      </c>
      <c r="C315" s="41">
        <f>C312-C300</f>
        <v>55150</v>
      </c>
      <c r="D315" s="52"/>
      <c r="E315" s="58"/>
      <c r="F315" s="94"/>
      <c r="G315" s="94"/>
      <c r="H315" s="82"/>
    </row>
    <row r="316" spans="1:8" ht="13.5" thickTop="1">
      <c r="A316" s="22"/>
      <c r="B316" s="37"/>
      <c r="C316" s="37"/>
      <c r="D316" s="51"/>
      <c r="E316" s="58"/>
      <c r="F316" s="94"/>
      <c r="G316" s="94"/>
      <c r="H316" s="82"/>
    </row>
    <row r="317" spans="1:8" ht="12.75">
      <c r="A317" s="22"/>
      <c r="B317" s="37"/>
      <c r="C317" s="37"/>
      <c r="D317" s="51"/>
      <c r="E317" s="58"/>
      <c r="F317" s="94"/>
      <c r="G317" s="94"/>
      <c r="H317" s="82"/>
    </row>
    <row r="318" spans="1:8" ht="17.25">
      <c r="A318" s="120" t="s">
        <v>45</v>
      </c>
      <c r="B318" s="44"/>
      <c r="C318" s="44"/>
      <c r="D318" s="56"/>
      <c r="E318" s="58"/>
      <c r="F318" s="94"/>
      <c r="G318" s="94"/>
      <c r="H318" s="82"/>
    </row>
    <row r="319" spans="1:8" ht="12.75" customHeight="1">
      <c r="A319" s="32"/>
      <c r="B319" s="44"/>
      <c r="C319" s="44"/>
      <c r="D319" s="56"/>
      <c r="E319" s="58"/>
      <c r="F319" s="94"/>
      <c r="G319" s="94"/>
      <c r="H319" s="82"/>
    </row>
    <row r="320" spans="1:8" ht="12.75">
      <c r="A320" s="20"/>
      <c r="B320" s="37"/>
      <c r="C320" s="37"/>
      <c r="D320" s="51"/>
      <c r="E320" s="58"/>
      <c r="F320" s="94"/>
      <c r="G320" s="94"/>
      <c r="H320" s="82"/>
    </row>
    <row r="321" spans="1:8" ht="12.75">
      <c r="A321" s="20" t="s">
        <v>46</v>
      </c>
      <c r="B321" s="37"/>
      <c r="C321" s="37"/>
      <c r="D321" s="51"/>
      <c r="E321" s="58"/>
      <c r="F321" s="40"/>
      <c r="G321" s="94"/>
      <c r="H321" s="80"/>
    </row>
    <row r="322" spans="1:8" ht="12.75">
      <c r="A322" s="20"/>
      <c r="B322" s="37"/>
      <c r="C322" s="37"/>
      <c r="D322" s="51"/>
      <c r="E322" s="61" t="s">
        <v>46</v>
      </c>
      <c r="F322" s="40"/>
      <c r="G322" s="94"/>
      <c r="H322" s="80"/>
    </row>
    <row r="323" spans="1:8" ht="12.75">
      <c r="A323" s="20"/>
      <c r="B323" s="37"/>
      <c r="C323" s="37"/>
      <c r="D323" s="51">
        <v>3180103</v>
      </c>
      <c r="E323" s="58" t="s">
        <v>211</v>
      </c>
      <c r="F323" s="40">
        <f>14500+13500</f>
        <v>28000</v>
      </c>
      <c r="G323" s="40">
        <f>14500+13500</f>
        <v>28000</v>
      </c>
      <c r="H323" s="80"/>
    </row>
    <row r="324" spans="1:8" ht="12.75">
      <c r="A324" s="20"/>
      <c r="B324" s="37"/>
      <c r="C324" s="37"/>
      <c r="D324" s="51">
        <v>3180106</v>
      </c>
      <c r="E324" s="58" t="s">
        <v>177</v>
      </c>
      <c r="F324" s="40">
        <v>7000</v>
      </c>
      <c r="G324" s="40">
        <v>6000</v>
      </c>
      <c r="H324" s="80"/>
    </row>
    <row r="325" spans="1:8" ht="12.75">
      <c r="A325" s="20"/>
      <c r="B325" s="37"/>
      <c r="C325" s="37"/>
      <c r="D325" s="51">
        <v>3180109</v>
      </c>
      <c r="E325" s="58" t="s">
        <v>178</v>
      </c>
      <c r="F325" s="40">
        <f>3500+10000</f>
        <v>13500</v>
      </c>
      <c r="G325" s="40">
        <f>4000+10500</f>
        <v>14500</v>
      </c>
      <c r="H325" s="80"/>
    </row>
    <row r="326" spans="1:8" ht="12.75">
      <c r="A326" s="20"/>
      <c r="B326" s="37"/>
      <c r="C326" s="37"/>
      <c r="D326" s="51">
        <v>3180115</v>
      </c>
      <c r="E326" s="58" t="s">
        <v>179</v>
      </c>
      <c r="F326" s="103">
        <f>13000+3500</f>
        <v>16500</v>
      </c>
      <c r="G326" s="103">
        <f>19500+5000</f>
        <v>24500</v>
      </c>
      <c r="H326" s="80"/>
    </row>
    <row r="327" spans="1:8" ht="12.75">
      <c r="A327" s="20"/>
      <c r="B327" s="37"/>
      <c r="C327" s="37"/>
      <c r="D327" s="51"/>
      <c r="E327" s="62" t="s">
        <v>180</v>
      </c>
      <c r="F327" s="75">
        <f>SUM(F323:F326)</f>
        <v>65000</v>
      </c>
      <c r="G327" s="75">
        <f>SUM(G323:G326)</f>
        <v>73000</v>
      </c>
      <c r="H327" s="81"/>
    </row>
    <row r="328" spans="1:8" ht="12.75">
      <c r="A328" s="21" t="s">
        <v>180</v>
      </c>
      <c r="B328" s="39">
        <f>F327</f>
        <v>65000</v>
      </c>
      <c r="C328" s="39">
        <f>G327</f>
        <v>73000</v>
      </c>
      <c r="D328" s="51"/>
      <c r="E328" s="58"/>
      <c r="F328" s="40"/>
      <c r="G328" s="94"/>
      <c r="H328" s="80"/>
    </row>
    <row r="329" spans="1:8" ht="12.75">
      <c r="A329" s="16"/>
      <c r="B329" s="37"/>
      <c r="C329" s="37"/>
      <c r="D329" s="49"/>
      <c r="E329" s="58"/>
      <c r="F329" s="94"/>
      <c r="G329" s="94"/>
      <c r="H329" s="82"/>
    </row>
    <row r="330" spans="1:8" ht="12.75">
      <c r="A330" s="16"/>
      <c r="B330" s="37"/>
      <c r="C330" s="37"/>
      <c r="D330" s="49"/>
      <c r="E330" s="58"/>
      <c r="F330" s="94"/>
      <c r="G330" s="94"/>
      <c r="H330" s="82"/>
    </row>
    <row r="331" spans="1:8" ht="15.75" thickBot="1">
      <c r="A331" s="121" t="s">
        <v>50</v>
      </c>
      <c r="B331" s="45">
        <f>SUM(B328)</f>
        <v>65000</v>
      </c>
      <c r="C331" s="45">
        <f>SUM(C328)</f>
        <v>73000</v>
      </c>
      <c r="D331" s="48"/>
      <c r="E331" s="58"/>
      <c r="F331" s="94"/>
      <c r="G331" s="94"/>
      <c r="H331" s="82"/>
    </row>
    <row r="332" spans="1:8" ht="21.75" customHeight="1" thickBot="1" thickTop="1">
      <c r="A332" s="33"/>
      <c r="B332" s="46"/>
      <c r="C332" s="46"/>
      <c r="D332" s="57"/>
      <c r="E332" s="72"/>
      <c r="F332" s="106"/>
      <c r="G332" s="106"/>
      <c r="H332" s="82"/>
    </row>
    <row r="333" spans="1:8" ht="12.75">
      <c r="A333" s="2"/>
      <c r="B333" s="8"/>
      <c r="C333" s="8"/>
      <c r="D333" s="13"/>
      <c r="E333" s="4"/>
      <c r="F333" s="11"/>
      <c r="G333" s="11"/>
      <c r="H333" s="11"/>
    </row>
    <row r="335" spans="1:3" ht="12.75">
      <c r="A335" s="6"/>
      <c r="B335" s="119"/>
      <c r="C335" s="119"/>
    </row>
  </sheetData>
  <sheetProtection/>
  <mergeCells count="1">
    <mergeCell ref="A1:F1"/>
  </mergeCells>
  <printOptions horizontalCentered="1"/>
  <pageMargins left="0.5905511811023623" right="0" top="0" bottom="0" header="0.5118110236220472" footer="0.1968503937007874"/>
  <pageSetup firstPageNumber="1" useFirstPageNumber="1" horizontalDpi="600" verticalDpi="600" orientation="landscape" pageOrder="overThenDown" paperSize="9" scale="60" r:id="rId1"/>
  <headerFooter alignWithMargins="0">
    <oddFooter>&amp;C&amp;P</oddFooter>
  </headerFooter>
  <rowBreaks count="5" manualBreakCount="5">
    <brk id="58" max="6" man="1"/>
    <brk id="122" max="6" man="1"/>
    <brk id="192" max="6" man="1"/>
    <brk id="266" max="255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dmori</dc:creator>
  <cp:keywords/>
  <dc:description/>
  <cp:lastModifiedBy>Chiara Lamoretti</cp:lastModifiedBy>
  <cp:lastPrinted>2018-11-20T10:40:41Z</cp:lastPrinted>
  <dcterms:created xsi:type="dcterms:W3CDTF">2010-10-21T08:51:59Z</dcterms:created>
  <dcterms:modified xsi:type="dcterms:W3CDTF">2018-11-21T09:11:42Z</dcterms:modified>
  <cp:category/>
  <cp:version/>
  <cp:contentType/>
  <cp:contentStatus/>
</cp:coreProperties>
</file>